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traumas-my.sharepoint.com/personal/ieva_klavina_tos_lv/Documents/Dokumenti/Dokumenti/2023 gads/BUDŽETA PLĀNS/JAUNAIS PLĀNS/budžeta plāns 2023/"/>
    </mc:Choice>
  </mc:AlternateContent>
  <xr:revisionPtr revIDLastSave="0" documentId="8_{AE7E141E-9EFE-4DC9-8888-09E9D5B59678}" xr6:coauthVersionLast="47" xr6:coauthVersionMax="47" xr10:uidLastSave="{00000000-0000-0000-0000-000000000000}"/>
  <bookViews>
    <workbookView xWindow="-120" yWindow="-120" windowWidth="29040" windowHeight="15720" xr2:uid="{00000000-000D-0000-FFFF-FFFF00000000}"/>
  </bookViews>
  <sheets>
    <sheet name="Budžeta tāme" sheetId="2" r:id="rId1"/>
    <sheet name="PZ Aprēķins" sheetId="12" r:id="rId2"/>
    <sheet name="Bilance" sheetId="11" r:id="rId3"/>
    <sheet name="Naudas plūsma" sheetId="5" r:id="rId4"/>
    <sheet name="Naturālie rādītāji" sheetId="10" r:id="rId5"/>
    <sheet name="Ieguldījumu tāme" sheetId="9" r:id="rId6"/>
  </sheets>
  <externalReferences>
    <externalReference r:id="rId7"/>
  </externalReferences>
  <definedNames>
    <definedName name="dff">#NAME?</definedName>
    <definedName name="_xlnm.Print_Area" localSheetId="5">'Ieguldījumu tāme'!#REF!</definedName>
    <definedName name="_xlnm.Print_Area" localSheetId="4">'Naturālie rādītāji'!$A$1:$X$105</definedName>
    <definedName name="_xlnm.Print_Titles" localSheetId="2">Bilance!#REF!</definedName>
    <definedName name="_xlnm.Print_Titles" localSheetId="0">'Budžeta tāme'!$1:$2</definedName>
    <definedName name="_xlnm.Print_Titles" localSheetId="4">'Naturālie rādītāji'!$1:$2</definedName>
    <definedName name="_xlnm.Print_Titles" localSheetId="3">'Naudas plūsma'!$1:$2</definedName>
    <definedName name="_xlnm.Print_Titles" localSheetId="1">'PZ Aprēķins'!#REF!</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10" l="1"/>
  <c r="V26" i="9"/>
  <c r="W26" i="9" s="1"/>
  <c r="Q26" i="9"/>
  <c r="R26" i="9" s="1"/>
  <c r="L26" i="9"/>
  <c r="M26" i="9" s="1"/>
  <c r="H26" i="9"/>
  <c r="G26" i="9"/>
  <c r="V25" i="9"/>
  <c r="W25" i="9" s="1"/>
  <c r="Q25" i="9"/>
  <c r="R25" i="9" s="1"/>
  <c r="L25" i="9"/>
  <c r="M25" i="9" s="1"/>
  <c r="G25" i="9"/>
  <c r="H25" i="9" s="1"/>
  <c r="V23" i="9"/>
  <c r="W23" i="9" s="1"/>
  <c r="R23" i="9"/>
  <c r="Q23" i="9"/>
  <c r="L23" i="9"/>
  <c r="M23" i="9" s="1"/>
  <c r="G23" i="9"/>
  <c r="H23" i="9" s="1"/>
  <c r="V22" i="9"/>
  <c r="W22" i="9" s="1"/>
  <c r="Q22" i="9"/>
  <c r="R22" i="9" s="1"/>
  <c r="L22" i="9"/>
  <c r="M22" i="9" s="1"/>
  <c r="H22" i="9"/>
  <c r="G22" i="9"/>
  <c r="V21" i="9"/>
  <c r="W21" i="9" s="1"/>
  <c r="Q21" i="9"/>
  <c r="R21" i="9" s="1"/>
  <c r="L21" i="9"/>
  <c r="M21" i="9" s="1"/>
  <c r="G21" i="9"/>
  <c r="H21" i="9" s="1"/>
  <c r="V20" i="9"/>
  <c r="W20" i="9" s="1"/>
  <c r="R20" i="9"/>
  <c r="Q20" i="9"/>
  <c r="L20" i="9"/>
  <c r="M20" i="9" s="1"/>
  <c r="G20" i="9"/>
  <c r="H20" i="9" s="1"/>
  <c r="V19" i="9"/>
  <c r="W19" i="9" s="1"/>
  <c r="Q19" i="9"/>
  <c r="R19" i="9" s="1"/>
  <c r="L19" i="9"/>
  <c r="M19" i="9" s="1"/>
  <c r="H19" i="9"/>
  <c r="G19" i="9"/>
  <c r="U18" i="9"/>
  <c r="V18" i="9" s="1"/>
  <c r="W18" i="9" s="1"/>
  <c r="T18" i="9"/>
  <c r="P18" i="9"/>
  <c r="Q18" i="9" s="1"/>
  <c r="R18" i="9" s="1"/>
  <c r="O18" i="9"/>
  <c r="O17" i="9" s="1"/>
  <c r="K18" i="9"/>
  <c r="K17" i="9" s="1"/>
  <c r="J18" i="9"/>
  <c r="E18" i="9"/>
  <c r="G18" i="9" s="1"/>
  <c r="H18" i="9" s="1"/>
  <c r="D18" i="9"/>
  <c r="U17" i="9"/>
  <c r="V17" i="9" s="1"/>
  <c r="W17" i="9" s="1"/>
  <c r="T17" i="9"/>
  <c r="P17" i="9"/>
  <c r="J17" i="9"/>
  <c r="F17" i="9"/>
  <c r="G17" i="9" s="1"/>
  <c r="H17" i="9" s="1"/>
  <c r="E17" i="9"/>
  <c r="D17" i="9"/>
  <c r="V16" i="9"/>
  <c r="W16" i="9" s="1"/>
  <c r="R16" i="9"/>
  <c r="Q16" i="9"/>
  <c r="L16" i="9"/>
  <c r="M16" i="9" s="1"/>
  <c r="G16" i="9"/>
  <c r="H16" i="9" s="1"/>
  <c r="V15" i="9"/>
  <c r="W15" i="9" s="1"/>
  <c r="Q15" i="9"/>
  <c r="R15" i="9" s="1"/>
  <c r="L15" i="9"/>
  <c r="M15" i="9" s="1"/>
  <c r="H15" i="9"/>
  <c r="G15" i="9"/>
  <c r="V14" i="9"/>
  <c r="W14" i="9" s="1"/>
  <c r="Q14" i="9"/>
  <c r="R14" i="9" s="1"/>
  <c r="L14" i="9"/>
  <c r="M14" i="9" s="1"/>
  <c r="G14" i="9"/>
  <c r="H14" i="9" s="1"/>
  <c r="V13" i="9"/>
  <c r="W13" i="9" s="1"/>
  <c r="R13" i="9"/>
  <c r="Q13" i="9"/>
  <c r="L13" i="9"/>
  <c r="M13" i="9" s="1"/>
  <c r="G13" i="9"/>
  <c r="H13" i="9" s="1"/>
  <c r="V12" i="9"/>
  <c r="W12" i="9" s="1"/>
  <c r="Q12" i="9"/>
  <c r="R12" i="9" s="1"/>
  <c r="L12" i="9"/>
  <c r="M12" i="9" s="1"/>
  <c r="H12" i="9"/>
  <c r="G12" i="9"/>
  <c r="V11" i="9"/>
  <c r="W11" i="9" s="1"/>
  <c r="Q11" i="9"/>
  <c r="R11" i="9" s="1"/>
  <c r="L11" i="9"/>
  <c r="M11" i="9" s="1"/>
  <c r="G11" i="9"/>
  <c r="H11" i="9" s="1"/>
  <c r="V10" i="9"/>
  <c r="W10" i="9" s="1"/>
  <c r="R10" i="9"/>
  <c r="Q10" i="9"/>
  <c r="L10" i="9"/>
  <c r="M10" i="9" s="1"/>
  <c r="G10" i="9"/>
  <c r="H10" i="9" s="1"/>
  <c r="U9" i="9"/>
  <c r="T9" i="9"/>
  <c r="P9" i="9"/>
  <c r="O9" i="9"/>
  <c r="K9" i="9"/>
  <c r="J9" i="9"/>
  <c r="J27" i="9" s="1"/>
  <c r="F9" i="9"/>
  <c r="E9" i="9"/>
  <c r="D9" i="9"/>
  <c r="W8" i="9"/>
  <c r="V8" i="9"/>
  <c r="Q8" i="9"/>
  <c r="R8" i="9" s="1"/>
  <c r="L8" i="9"/>
  <c r="M8" i="9" s="1"/>
  <c r="G8" i="9"/>
  <c r="H8" i="9" s="1"/>
  <c r="V6" i="9"/>
  <c r="W6" i="9" s="1"/>
  <c r="Q6" i="9"/>
  <c r="R6" i="9" s="1"/>
  <c r="M6" i="9"/>
  <c r="L6" i="9"/>
  <c r="G6" i="9"/>
  <c r="H6" i="9" s="1"/>
  <c r="V5" i="9"/>
  <c r="W5" i="9" s="1"/>
  <c r="Q5" i="9"/>
  <c r="R5" i="9" s="1"/>
  <c r="L5" i="9"/>
  <c r="M5" i="9" s="1"/>
  <c r="G5" i="9"/>
  <c r="H5" i="9" s="1"/>
  <c r="W4" i="9"/>
  <c r="V4" i="9"/>
  <c r="Q4" i="9"/>
  <c r="R4" i="9" s="1"/>
  <c r="L4" i="9"/>
  <c r="M4" i="9" s="1"/>
  <c r="G4" i="9"/>
  <c r="H4" i="9" s="1"/>
  <c r="U3" i="9"/>
  <c r="V3" i="9" s="1"/>
  <c r="W3" i="9" s="1"/>
  <c r="T3" i="9"/>
  <c r="R3" i="9"/>
  <c r="Q3" i="9"/>
  <c r="P3" i="9"/>
  <c r="O3" i="9"/>
  <c r="K3" i="9"/>
  <c r="L3" i="9" s="1"/>
  <c r="M3" i="9" s="1"/>
  <c r="J3" i="9"/>
  <c r="F3" i="9"/>
  <c r="E3" i="9"/>
  <c r="D3" i="9"/>
  <c r="K84" i="11"/>
  <c r="J84" i="11"/>
  <c r="D84" i="11"/>
  <c r="C84" i="11"/>
  <c r="V83" i="11"/>
  <c r="W83" i="11" s="1"/>
  <c r="U83" i="11"/>
  <c r="T83" i="11"/>
  <c r="K83" i="11"/>
  <c r="L83" i="11" s="1"/>
  <c r="M83" i="11" s="1"/>
  <c r="J83" i="11"/>
  <c r="G83" i="11"/>
  <c r="H83" i="11" s="1"/>
  <c r="F83" i="11"/>
  <c r="E83" i="11"/>
  <c r="D83" i="11"/>
  <c r="D82" i="11" s="1"/>
  <c r="C83" i="11"/>
  <c r="C82" i="11" s="1"/>
  <c r="K82" i="11"/>
  <c r="J82" i="11"/>
  <c r="V79" i="11"/>
  <c r="W79" i="11" s="1"/>
  <c r="Q79" i="11"/>
  <c r="R79" i="11" s="1"/>
  <c r="L79" i="11"/>
  <c r="M79" i="11" s="1"/>
  <c r="G79" i="11"/>
  <c r="H79" i="11" s="1"/>
  <c r="V78" i="11"/>
  <c r="W78" i="11" s="1"/>
  <c r="Q78" i="11"/>
  <c r="R78" i="11" s="1"/>
  <c r="L78" i="11"/>
  <c r="M78" i="11" s="1"/>
  <c r="E78" i="11"/>
  <c r="G78" i="11" s="1"/>
  <c r="H78" i="11" s="1"/>
  <c r="V77" i="11"/>
  <c r="W77" i="11" s="1"/>
  <c r="R77" i="11"/>
  <c r="Q77" i="11"/>
  <c r="L77" i="11"/>
  <c r="M77" i="11" s="1"/>
  <c r="H77" i="11"/>
  <c r="G77" i="11"/>
  <c r="V76" i="11"/>
  <c r="W76" i="11" s="1"/>
  <c r="Q76" i="11"/>
  <c r="R76" i="11" s="1"/>
  <c r="L76" i="11"/>
  <c r="M76" i="11" s="1"/>
  <c r="H76" i="11"/>
  <c r="G76" i="11"/>
  <c r="V75" i="11"/>
  <c r="W75" i="11" s="1"/>
  <c r="R75" i="11"/>
  <c r="Q75" i="11"/>
  <c r="L75" i="11"/>
  <c r="M75" i="11" s="1"/>
  <c r="G75" i="11"/>
  <c r="H75" i="11" s="1"/>
  <c r="T74" i="11"/>
  <c r="V74" i="11" s="1"/>
  <c r="W74" i="11" s="1"/>
  <c r="Q74" i="11"/>
  <c r="R74" i="11" s="1"/>
  <c r="L74" i="11"/>
  <c r="M74" i="11" s="1"/>
  <c r="J74" i="11"/>
  <c r="E74" i="11"/>
  <c r="G74" i="11" s="1"/>
  <c r="H74" i="11" s="1"/>
  <c r="V73" i="11"/>
  <c r="W73" i="11" s="1"/>
  <c r="Q73" i="11"/>
  <c r="R73" i="11" s="1"/>
  <c r="L73" i="11"/>
  <c r="M73" i="11" s="1"/>
  <c r="G73" i="11"/>
  <c r="H73" i="11" s="1"/>
  <c r="V72" i="11"/>
  <c r="W72" i="11" s="1"/>
  <c r="Q72" i="11"/>
  <c r="R72" i="11" s="1"/>
  <c r="L72" i="11"/>
  <c r="M72" i="11" s="1"/>
  <c r="G72" i="11"/>
  <c r="H72" i="11" s="1"/>
  <c r="V71" i="11"/>
  <c r="W71" i="11" s="1"/>
  <c r="Q71" i="11"/>
  <c r="R71" i="11" s="1"/>
  <c r="L71" i="11"/>
  <c r="M71" i="11" s="1"/>
  <c r="G71" i="11"/>
  <c r="H71" i="11" s="1"/>
  <c r="U70" i="11"/>
  <c r="P70" i="11"/>
  <c r="P84" i="11" s="1"/>
  <c r="O70" i="11"/>
  <c r="O84" i="11" s="1"/>
  <c r="K70" i="11"/>
  <c r="L70" i="11" s="1"/>
  <c r="M70" i="11" s="1"/>
  <c r="J70" i="11"/>
  <c r="F70" i="11"/>
  <c r="F84" i="11" s="1"/>
  <c r="E70" i="11"/>
  <c r="E84" i="11" s="1"/>
  <c r="D70" i="11"/>
  <c r="C70" i="11"/>
  <c r="V69" i="11"/>
  <c r="W69" i="11" s="1"/>
  <c r="Q69" i="11"/>
  <c r="R69" i="11" s="1"/>
  <c r="L69" i="11"/>
  <c r="M69" i="11" s="1"/>
  <c r="G69" i="11"/>
  <c r="H69" i="11" s="1"/>
  <c r="V68" i="11"/>
  <c r="W68" i="11" s="1"/>
  <c r="Q68" i="11"/>
  <c r="R68" i="11" s="1"/>
  <c r="L68" i="11"/>
  <c r="M68" i="11" s="1"/>
  <c r="G68" i="11"/>
  <c r="H68" i="11" s="1"/>
  <c r="V67" i="11"/>
  <c r="W67" i="11" s="1"/>
  <c r="Q67" i="11"/>
  <c r="R67" i="11" s="1"/>
  <c r="L67" i="11"/>
  <c r="M67" i="11" s="1"/>
  <c r="G67" i="11"/>
  <c r="H67" i="11" s="1"/>
  <c r="V66" i="11"/>
  <c r="W66" i="11" s="1"/>
  <c r="Q66" i="11"/>
  <c r="R66" i="11" s="1"/>
  <c r="L66" i="11"/>
  <c r="M66" i="11" s="1"/>
  <c r="G66" i="11"/>
  <c r="H66" i="11" s="1"/>
  <c r="V65" i="11"/>
  <c r="W65" i="11" s="1"/>
  <c r="Q65" i="11"/>
  <c r="R65" i="11" s="1"/>
  <c r="L65" i="11"/>
  <c r="M65" i="11" s="1"/>
  <c r="G65" i="11"/>
  <c r="H65" i="11" s="1"/>
  <c r="V64" i="11"/>
  <c r="W64" i="11" s="1"/>
  <c r="Q64" i="11"/>
  <c r="R64" i="11" s="1"/>
  <c r="L64" i="11"/>
  <c r="M64" i="11" s="1"/>
  <c r="G64" i="11"/>
  <c r="H64" i="11" s="1"/>
  <c r="V63" i="11"/>
  <c r="W63" i="11" s="1"/>
  <c r="Q63" i="11"/>
  <c r="R63" i="11" s="1"/>
  <c r="L63" i="11"/>
  <c r="M63" i="11" s="1"/>
  <c r="G63" i="11"/>
  <c r="H63" i="11" s="1"/>
  <c r="V62" i="11"/>
  <c r="W62" i="11" s="1"/>
  <c r="Q62" i="11"/>
  <c r="R62" i="11" s="1"/>
  <c r="L62" i="11"/>
  <c r="M62" i="11" s="1"/>
  <c r="G62" i="11"/>
  <c r="H62" i="11" s="1"/>
  <c r="V61" i="11"/>
  <c r="W61" i="11" s="1"/>
  <c r="Q61" i="11"/>
  <c r="R61" i="11" s="1"/>
  <c r="L61" i="11"/>
  <c r="M61" i="11" s="1"/>
  <c r="G61" i="11"/>
  <c r="H61" i="11" s="1"/>
  <c r="V60" i="11"/>
  <c r="W60" i="11" s="1"/>
  <c r="U60" i="11"/>
  <c r="T60" i="11"/>
  <c r="P60" i="11"/>
  <c r="P83" i="11" s="1"/>
  <c r="O60" i="11"/>
  <c r="O83" i="11" s="1"/>
  <c r="O82" i="11" s="1"/>
  <c r="L60" i="11"/>
  <c r="M60" i="11" s="1"/>
  <c r="K60" i="11"/>
  <c r="K59" i="11" s="1"/>
  <c r="J60" i="11"/>
  <c r="J59" i="11" s="1"/>
  <c r="G60" i="11"/>
  <c r="H60" i="11" s="1"/>
  <c r="F60" i="11"/>
  <c r="E60" i="11"/>
  <c r="D60" i="11"/>
  <c r="C60" i="11"/>
  <c r="U59" i="11"/>
  <c r="P59" i="11"/>
  <c r="F59" i="11"/>
  <c r="D59" i="11"/>
  <c r="C59" i="11"/>
  <c r="W58" i="11"/>
  <c r="R58" i="11"/>
  <c r="M58" i="11"/>
  <c r="G58" i="11"/>
  <c r="H58" i="11" s="1"/>
  <c r="V57" i="11"/>
  <c r="W57" i="11" s="1"/>
  <c r="Q57" i="11"/>
  <c r="R57" i="11" s="1"/>
  <c r="M57" i="11"/>
  <c r="L57" i="11"/>
  <c r="G57" i="11"/>
  <c r="H57" i="11" s="1"/>
  <c r="W56" i="11"/>
  <c r="V56" i="11"/>
  <c r="Q56" i="11"/>
  <c r="R56" i="11" s="1"/>
  <c r="L56" i="11"/>
  <c r="M56" i="11" s="1"/>
  <c r="G56" i="11"/>
  <c r="H56" i="11" s="1"/>
  <c r="U55" i="11"/>
  <c r="U49" i="11" s="1"/>
  <c r="V49" i="11" s="1"/>
  <c r="W49" i="11" s="1"/>
  <c r="T55" i="11"/>
  <c r="T49" i="11" s="1"/>
  <c r="P55" i="11"/>
  <c r="Q55" i="11" s="1"/>
  <c r="R55" i="11" s="1"/>
  <c r="O55" i="11"/>
  <c r="K55" i="11"/>
  <c r="K49" i="11" s="1"/>
  <c r="J55" i="11"/>
  <c r="F55" i="11"/>
  <c r="G55" i="11" s="1"/>
  <c r="H55" i="11" s="1"/>
  <c r="E55" i="11"/>
  <c r="E49" i="11" s="1"/>
  <c r="D55" i="11"/>
  <c r="D49" i="11" s="1"/>
  <c r="D80" i="11" s="1"/>
  <c r="C55" i="11"/>
  <c r="V54" i="11"/>
  <c r="W54" i="11" s="1"/>
  <c r="Q54" i="11"/>
  <c r="R54" i="11" s="1"/>
  <c r="L54" i="11"/>
  <c r="M54" i="11" s="1"/>
  <c r="H54" i="11"/>
  <c r="G54" i="11"/>
  <c r="V53" i="11"/>
  <c r="W53" i="11" s="1"/>
  <c r="R53" i="11"/>
  <c r="Q53" i="11"/>
  <c r="L53" i="11"/>
  <c r="M53" i="11" s="1"/>
  <c r="G53" i="11"/>
  <c r="H53" i="11" s="1"/>
  <c r="U52" i="11"/>
  <c r="V52" i="11" s="1"/>
  <c r="W52" i="11" s="1"/>
  <c r="T52" i="11"/>
  <c r="P52" i="11"/>
  <c r="O52" i="11"/>
  <c r="K52" i="11"/>
  <c r="L52" i="11" s="1"/>
  <c r="M52" i="11" s="1"/>
  <c r="J52" i="11"/>
  <c r="J49" i="11" s="1"/>
  <c r="F52" i="11"/>
  <c r="E52" i="11"/>
  <c r="D52" i="11"/>
  <c r="C52" i="11"/>
  <c r="C49" i="11" s="1"/>
  <c r="C80" i="11" s="1"/>
  <c r="W51" i="11"/>
  <c r="V51" i="11"/>
  <c r="Q51" i="11"/>
  <c r="R51" i="11" s="1"/>
  <c r="L51" i="11"/>
  <c r="M51" i="11" s="1"/>
  <c r="H51" i="11"/>
  <c r="V50" i="11"/>
  <c r="W50" i="11" s="1"/>
  <c r="Q50" i="11"/>
  <c r="R50" i="11" s="1"/>
  <c r="L50" i="11"/>
  <c r="M50" i="11" s="1"/>
  <c r="G50" i="11"/>
  <c r="H50" i="11" s="1"/>
  <c r="O49" i="11"/>
  <c r="L49" i="11"/>
  <c r="M49" i="11" s="1"/>
  <c r="J47" i="11"/>
  <c r="E47" i="11"/>
  <c r="V46" i="11"/>
  <c r="W46" i="11" s="1"/>
  <c r="L46" i="11"/>
  <c r="M46" i="11" s="1"/>
  <c r="G46" i="11"/>
  <c r="H46" i="11" s="1"/>
  <c r="V45" i="11"/>
  <c r="W45" i="11" s="1"/>
  <c r="L45" i="11"/>
  <c r="M45" i="11" s="1"/>
  <c r="G45" i="11"/>
  <c r="H45" i="11" s="1"/>
  <c r="V44" i="11"/>
  <c r="W44" i="11" s="1"/>
  <c r="L44" i="11"/>
  <c r="M44" i="11" s="1"/>
  <c r="G44" i="11"/>
  <c r="H44" i="11" s="1"/>
  <c r="V43" i="11"/>
  <c r="W43" i="11" s="1"/>
  <c r="Q43" i="11"/>
  <c r="R43" i="11" s="1"/>
  <c r="L43" i="11"/>
  <c r="M43" i="11" s="1"/>
  <c r="G43" i="11"/>
  <c r="H43" i="11" s="1"/>
  <c r="V42" i="11"/>
  <c r="W42" i="11" s="1"/>
  <c r="Q42" i="11"/>
  <c r="R42" i="11" s="1"/>
  <c r="L42" i="11"/>
  <c r="M42" i="11" s="1"/>
  <c r="G42" i="11"/>
  <c r="H42" i="11" s="1"/>
  <c r="V41" i="11"/>
  <c r="W41" i="11" s="1"/>
  <c r="Q41" i="11"/>
  <c r="R41" i="11" s="1"/>
  <c r="L41" i="11"/>
  <c r="M41" i="11" s="1"/>
  <c r="G41" i="11"/>
  <c r="H41" i="11" s="1"/>
  <c r="V40" i="11"/>
  <c r="W40" i="11" s="1"/>
  <c r="R40" i="11"/>
  <c r="Q40" i="11"/>
  <c r="L40" i="11"/>
  <c r="M40" i="11" s="1"/>
  <c r="G40" i="11"/>
  <c r="H40" i="11" s="1"/>
  <c r="V39" i="11"/>
  <c r="W39" i="11" s="1"/>
  <c r="Q39" i="11"/>
  <c r="R39" i="11" s="1"/>
  <c r="L39" i="11"/>
  <c r="M39" i="11" s="1"/>
  <c r="H39" i="11"/>
  <c r="G39" i="11"/>
  <c r="V38" i="11"/>
  <c r="W38" i="11" s="1"/>
  <c r="Q38" i="11"/>
  <c r="R38" i="11" s="1"/>
  <c r="L38" i="11"/>
  <c r="M38" i="11" s="1"/>
  <c r="G38" i="11"/>
  <c r="H38" i="11" s="1"/>
  <c r="T37" i="11"/>
  <c r="O37" i="11"/>
  <c r="Q37" i="11" s="1"/>
  <c r="R37" i="11" s="1"/>
  <c r="L37" i="11"/>
  <c r="M37" i="11" s="1"/>
  <c r="G37" i="11"/>
  <c r="H37" i="11" s="1"/>
  <c r="U36" i="11"/>
  <c r="R36" i="11"/>
  <c r="Q36" i="11"/>
  <c r="P36" i="11"/>
  <c r="O36" i="11"/>
  <c r="K36" i="11"/>
  <c r="L36" i="11" s="1"/>
  <c r="M36" i="11" s="1"/>
  <c r="J36" i="11"/>
  <c r="G36" i="11"/>
  <c r="H36" i="11" s="1"/>
  <c r="F36" i="11"/>
  <c r="E36" i="11"/>
  <c r="D36" i="11"/>
  <c r="C36" i="11"/>
  <c r="V35" i="11"/>
  <c r="W35" i="11" s="1"/>
  <c r="Q35" i="11"/>
  <c r="R35" i="11" s="1"/>
  <c r="L35" i="11"/>
  <c r="M35" i="11" s="1"/>
  <c r="G35" i="11"/>
  <c r="H35" i="11" s="1"/>
  <c r="V34" i="11"/>
  <c r="W34" i="11" s="1"/>
  <c r="Q34" i="11"/>
  <c r="R34" i="11" s="1"/>
  <c r="L34" i="11"/>
  <c r="M34" i="11" s="1"/>
  <c r="G34" i="11"/>
  <c r="H34" i="11" s="1"/>
  <c r="V33" i="11"/>
  <c r="W33" i="11" s="1"/>
  <c r="Q33" i="11"/>
  <c r="R33" i="11" s="1"/>
  <c r="L33" i="11"/>
  <c r="M33" i="11" s="1"/>
  <c r="H33" i="11"/>
  <c r="G33" i="11"/>
  <c r="V32" i="11"/>
  <c r="W32" i="11" s="1"/>
  <c r="Q32" i="11"/>
  <c r="R32" i="11" s="1"/>
  <c r="L32" i="11"/>
  <c r="M32" i="11" s="1"/>
  <c r="G32" i="11"/>
  <c r="H32" i="11" s="1"/>
  <c r="V31" i="11"/>
  <c r="W31" i="11" s="1"/>
  <c r="Q31" i="11"/>
  <c r="R31" i="11" s="1"/>
  <c r="L31" i="11"/>
  <c r="M31" i="11" s="1"/>
  <c r="G31" i="11"/>
  <c r="H31" i="11" s="1"/>
  <c r="V30" i="11"/>
  <c r="W30" i="11" s="1"/>
  <c r="Q30" i="11"/>
  <c r="R30" i="11" s="1"/>
  <c r="L30" i="11"/>
  <c r="M30" i="11" s="1"/>
  <c r="G30" i="11"/>
  <c r="H30" i="11" s="1"/>
  <c r="V29" i="11"/>
  <c r="W29" i="11" s="1"/>
  <c r="Q29" i="11"/>
  <c r="R29" i="11" s="1"/>
  <c r="L29" i="11"/>
  <c r="M29" i="11" s="1"/>
  <c r="G29" i="11"/>
  <c r="H29" i="11" s="1"/>
  <c r="V28" i="11"/>
  <c r="W28" i="11" s="1"/>
  <c r="R28" i="11"/>
  <c r="Q28" i="11"/>
  <c r="L28" i="11"/>
  <c r="M28" i="11" s="1"/>
  <c r="G28" i="11"/>
  <c r="H28" i="11" s="1"/>
  <c r="V27" i="11"/>
  <c r="W27" i="11" s="1"/>
  <c r="Q27" i="11"/>
  <c r="R27" i="11" s="1"/>
  <c r="L27" i="11"/>
  <c r="M27" i="11" s="1"/>
  <c r="G27" i="11"/>
  <c r="H27" i="11" s="1"/>
  <c r="U26" i="11"/>
  <c r="V26" i="11" s="1"/>
  <c r="W26" i="11" s="1"/>
  <c r="T26" i="11"/>
  <c r="P26" i="11"/>
  <c r="P25" i="11" s="1"/>
  <c r="O26" i="11"/>
  <c r="O25" i="11" s="1"/>
  <c r="K26" i="11"/>
  <c r="J26" i="11"/>
  <c r="J25" i="11" s="1"/>
  <c r="F26" i="11"/>
  <c r="G26" i="11" s="1"/>
  <c r="H26" i="11" s="1"/>
  <c r="E26" i="11"/>
  <c r="D26" i="11"/>
  <c r="C26" i="11"/>
  <c r="U25" i="11"/>
  <c r="G25" i="11"/>
  <c r="H25" i="11" s="1"/>
  <c r="F25" i="11"/>
  <c r="E25" i="11"/>
  <c r="D25" i="11"/>
  <c r="C25" i="11"/>
  <c r="C47" i="11" s="1"/>
  <c r="V24" i="11"/>
  <c r="W24" i="11" s="1"/>
  <c r="Q24" i="11"/>
  <c r="R24" i="11" s="1"/>
  <c r="M24" i="11"/>
  <c r="G24" i="11"/>
  <c r="H24" i="11" s="1"/>
  <c r="W23" i="11"/>
  <c r="V23" i="11"/>
  <c r="Q23" i="11"/>
  <c r="R23" i="11" s="1"/>
  <c r="M23" i="11"/>
  <c r="G23" i="11"/>
  <c r="H23" i="11" s="1"/>
  <c r="V22" i="11"/>
  <c r="W22" i="11" s="1"/>
  <c r="Q22" i="11"/>
  <c r="R22" i="11" s="1"/>
  <c r="M22" i="11"/>
  <c r="H22" i="11"/>
  <c r="G22" i="11"/>
  <c r="V21" i="11"/>
  <c r="W21" i="11" s="1"/>
  <c r="R21" i="11"/>
  <c r="Q21" i="11"/>
  <c r="M21" i="11"/>
  <c r="H21" i="11"/>
  <c r="V20" i="11"/>
  <c r="W20" i="11" s="1"/>
  <c r="Q20" i="11"/>
  <c r="R20" i="11" s="1"/>
  <c r="M20" i="11"/>
  <c r="L20" i="11"/>
  <c r="G20" i="11"/>
  <c r="H20" i="11" s="1"/>
  <c r="W19" i="11"/>
  <c r="V19" i="11"/>
  <c r="Q19" i="11"/>
  <c r="R19" i="11" s="1"/>
  <c r="L19" i="11"/>
  <c r="M19" i="11" s="1"/>
  <c r="G19" i="11"/>
  <c r="H19" i="11" s="1"/>
  <c r="W18" i="11"/>
  <c r="V18" i="11"/>
  <c r="Q18" i="11"/>
  <c r="R18" i="11" s="1"/>
  <c r="M18" i="11"/>
  <c r="L18" i="11"/>
  <c r="G18" i="11"/>
  <c r="H18" i="11" s="1"/>
  <c r="V17" i="11"/>
  <c r="W17" i="11" s="1"/>
  <c r="Q17" i="11"/>
  <c r="R17" i="11" s="1"/>
  <c r="M17" i="11"/>
  <c r="L17" i="11"/>
  <c r="G17" i="11"/>
  <c r="H17" i="11" s="1"/>
  <c r="W16" i="11"/>
  <c r="V16" i="11"/>
  <c r="Q16" i="11"/>
  <c r="R16" i="11" s="1"/>
  <c r="L16" i="11"/>
  <c r="M16" i="11" s="1"/>
  <c r="G16" i="11"/>
  <c r="H16" i="11" s="1"/>
  <c r="W15" i="11"/>
  <c r="V15" i="11"/>
  <c r="Q15" i="11"/>
  <c r="R15" i="11" s="1"/>
  <c r="M15" i="11"/>
  <c r="L15" i="11"/>
  <c r="G15" i="11"/>
  <c r="H15" i="11" s="1"/>
  <c r="T14" i="11"/>
  <c r="V14" i="11" s="1"/>
  <c r="W14" i="11" s="1"/>
  <c r="Q14" i="11"/>
  <c r="R14" i="11" s="1"/>
  <c r="O14" i="11"/>
  <c r="L14" i="11"/>
  <c r="M14" i="11" s="1"/>
  <c r="H14" i="11"/>
  <c r="G14" i="11"/>
  <c r="T13" i="11"/>
  <c r="V13" i="11" s="1"/>
  <c r="W13" i="11" s="1"/>
  <c r="O13" i="11"/>
  <c r="Q13" i="11" s="1"/>
  <c r="R13" i="11" s="1"/>
  <c r="M13" i="11"/>
  <c r="L13" i="11"/>
  <c r="G13" i="11"/>
  <c r="H13" i="11" s="1"/>
  <c r="T12" i="11"/>
  <c r="V12" i="11" s="1"/>
  <c r="W12" i="11" s="1"/>
  <c r="O12" i="11"/>
  <c r="Q12" i="11" s="1"/>
  <c r="R12" i="11" s="1"/>
  <c r="L12" i="11"/>
  <c r="M12" i="11" s="1"/>
  <c r="H12" i="11"/>
  <c r="G12" i="11"/>
  <c r="U11" i="11"/>
  <c r="P11" i="11"/>
  <c r="K11" i="11"/>
  <c r="L11" i="11" s="1"/>
  <c r="M11" i="11" s="1"/>
  <c r="J11" i="11"/>
  <c r="F11" i="11"/>
  <c r="G11" i="11" s="1"/>
  <c r="H11" i="11" s="1"/>
  <c r="E11" i="11"/>
  <c r="D11" i="11"/>
  <c r="C11" i="11"/>
  <c r="V10" i="11"/>
  <c r="W10" i="11" s="1"/>
  <c r="Q10" i="11"/>
  <c r="R10" i="11" s="1"/>
  <c r="M10" i="11"/>
  <c r="L10" i="11"/>
  <c r="G10" i="11"/>
  <c r="H10" i="11" s="1"/>
  <c r="W9" i="11"/>
  <c r="V9" i="11"/>
  <c r="Q9" i="11"/>
  <c r="R9" i="11" s="1"/>
  <c r="L9" i="11"/>
  <c r="M9" i="11" s="1"/>
  <c r="G9" i="11"/>
  <c r="H9" i="11" s="1"/>
  <c r="W8" i="11"/>
  <c r="V8" i="11"/>
  <c r="Q8" i="11"/>
  <c r="R8" i="11" s="1"/>
  <c r="M8" i="11"/>
  <c r="L8" i="11"/>
  <c r="G8" i="11"/>
  <c r="H8" i="11" s="1"/>
  <c r="V7" i="11"/>
  <c r="W7" i="11" s="1"/>
  <c r="Q7" i="11"/>
  <c r="R7" i="11" s="1"/>
  <c r="M7" i="11"/>
  <c r="L7" i="11"/>
  <c r="G7" i="11"/>
  <c r="H7" i="11" s="1"/>
  <c r="W6" i="11"/>
  <c r="V6" i="11"/>
  <c r="Q6" i="11"/>
  <c r="R6" i="11" s="1"/>
  <c r="L6" i="11"/>
  <c r="M6" i="11" s="1"/>
  <c r="G6" i="11"/>
  <c r="H6" i="11" s="1"/>
  <c r="W5" i="11"/>
  <c r="V5" i="11"/>
  <c r="Q5" i="11"/>
  <c r="R5" i="11" s="1"/>
  <c r="M5" i="11"/>
  <c r="L5" i="11"/>
  <c r="G5" i="11"/>
  <c r="H5" i="11" s="1"/>
  <c r="U4" i="11"/>
  <c r="V4" i="11" s="1"/>
  <c r="W4" i="11" s="1"/>
  <c r="T4" i="11"/>
  <c r="P4" i="11"/>
  <c r="P3" i="11" s="1"/>
  <c r="O4" i="11"/>
  <c r="K4" i="11"/>
  <c r="L4" i="11" s="1"/>
  <c r="M4" i="11" s="1"/>
  <c r="J4" i="11"/>
  <c r="F4" i="11"/>
  <c r="G4" i="11" s="1"/>
  <c r="H4" i="11" s="1"/>
  <c r="E4" i="11"/>
  <c r="E3" i="11" s="1"/>
  <c r="D4" i="11"/>
  <c r="D3" i="11" s="1"/>
  <c r="D47" i="11" s="1"/>
  <c r="C4" i="11"/>
  <c r="C3" i="11" s="1"/>
  <c r="U3" i="11"/>
  <c r="U47" i="11" s="1"/>
  <c r="K3" i="11"/>
  <c r="L3" i="11" s="1"/>
  <c r="M3" i="11" s="1"/>
  <c r="J3" i="11"/>
  <c r="F3" i="11"/>
  <c r="F47" i="11" s="1"/>
  <c r="G47" i="11" s="1"/>
  <c r="H47" i="11" s="1"/>
  <c r="W19" i="12"/>
  <c r="V19" i="12"/>
  <c r="Q19" i="12"/>
  <c r="R19" i="12" s="1"/>
  <c r="L19" i="12"/>
  <c r="M19" i="12" s="1"/>
  <c r="G19" i="12"/>
  <c r="H19" i="12" s="1"/>
  <c r="V18" i="12"/>
  <c r="W18" i="12" s="1"/>
  <c r="R18" i="12"/>
  <c r="Q18" i="12"/>
  <c r="M18" i="12"/>
  <c r="L18" i="12"/>
  <c r="G18" i="12"/>
  <c r="H18" i="12" s="1"/>
  <c r="S17" i="12"/>
  <c r="S20" i="12" s="1"/>
  <c r="V16" i="12"/>
  <c r="W16" i="12" s="1"/>
  <c r="Q16" i="12"/>
  <c r="R16" i="12" s="1"/>
  <c r="L16" i="12"/>
  <c r="M16" i="12" s="1"/>
  <c r="G16" i="12"/>
  <c r="H16" i="12" s="1"/>
  <c r="U15" i="12"/>
  <c r="V15" i="12" s="1"/>
  <c r="W15" i="12" s="1"/>
  <c r="K15" i="12"/>
  <c r="K17" i="12" s="1"/>
  <c r="K20" i="12" s="1"/>
  <c r="F15" i="12"/>
  <c r="F17" i="12" s="1"/>
  <c r="F20" i="12" s="1"/>
  <c r="V14" i="12"/>
  <c r="W14" i="12" s="1"/>
  <c r="Q14" i="12"/>
  <c r="R14" i="12" s="1"/>
  <c r="L14" i="12"/>
  <c r="M14" i="12" s="1"/>
  <c r="G14" i="12"/>
  <c r="H14" i="12" s="1"/>
  <c r="W13" i="12"/>
  <c r="V13" i="12"/>
  <c r="Q13" i="12"/>
  <c r="R13" i="12" s="1"/>
  <c r="L13" i="12"/>
  <c r="M13" i="12" s="1"/>
  <c r="G13" i="12"/>
  <c r="H13" i="12" s="1"/>
  <c r="V12" i="12"/>
  <c r="W12" i="12" s="1"/>
  <c r="Q12" i="12"/>
  <c r="R12" i="12" s="1"/>
  <c r="M12" i="12"/>
  <c r="L12" i="12"/>
  <c r="G12" i="12"/>
  <c r="H12" i="12" s="1"/>
  <c r="V11" i="12"/>
  <c r="W11" i="12" s="1"/>
  <c r="Q11" i="12"/>
  <c r="R11" i="12" s="1"/>
  <c r="L11" i="12"/>
  <c r="M11" i="12" s="1"/>
  <c r="G11" i="12"/>
  <c r="H11" i="12" s="1"/>
  <c r="W10" i="12"/>
  <c r="V10" i="12"/>
  <c r="Q10" i="12"/>
  <c r="R10" i="12" s="1"/>
  <c r="L10" i="12"/>
  <c r="M10" i="12" s="1"/>
  <c r="G10" i="12"/>
  <c r="H10" i="12" s="1"/>
  <c r="V9" i="12"/>
  <c r="W9" i="12" s="1"/>
  <c r="Q9" i="12"/>
  <c r="R9" i="12" s="1"/>
  <c r="M9" i="12"/>
  <c r="L9" i="12"/>
  <c r="J9" i="12"/>
  <c r="E9" i="12"/>
  <c r="G9" i="12" s="1"/>
  <c r="H9" i="12" s="1"/>
  <c r="V8" i="12"/>
  <c r="W8" i="12" s="1"/>
  <c r="Q8" i="12"/>
  <c r="R8" i="12" s="1"/>
  <c r="J8" i="12"/>
  <c r="L8" i="12" s="1"/>
  <c r="M8" i="12" s="1"/>
  <c r="E8" i="12"/>
  <c r="G8" i="12" s="1"/>
  <c r="H8" i="12" s="1"/>
  <c r="V7" i="12"/>
  <c r="W7" i="12" s="1"/>
  <c r="Q7" i="12"/>
  <c r="R7" i="12" s="1"/>
  <c r="L7" i="12"/>
  <c r="M7" i="12" s="1"/>
  <c r="G7" i="12"/>
  <c r="H7" i="12" s="1"/>
  <c r="W6" i="12"/>
  <c r="V6" i="12"/>
  <c r="Q6" i="12"/>
  <c r="R6" i="12" s="1"/>
  <c r="L6" i="12"/>
  <c r="M6" i="12" s="1"/>
  <c r="G6" i="12"/>
  <c r="H6" i="12" s="1"/>
  <c r="U5" i="12"/>
  <c r="V5" i="12" s="1"/>
  <c r="W5" i="12" s="1"/>
  <c r="T5" i="12"/>
  <c r="T15" i="12" s="1"/>
  <c r="T17" i="12" s="1"/>
  <c r="R5" i="12"/>
  <c r="Q5" i="12"/>
  <c r="P5" i="12"/>
  <c r="P15" i="12" s="1"/>
  <c r="O5" i="12"/>
  <c r="O15" i="12" s="1"/>
  <c r="O17" i="12" s="1"/>
  <c r="K5" i="12"/>
  <c r="L5" i="12" s="1"/>
  <c r="M5" i="12" s="1"/>
  <c r="F5" i="12"/>
  <c r="G5" i="12" s="1"/>
  <c r="H5" i="12" s="1"/>
  <c r="E5" i="12"/>
  <c r="E15" i="12" s="1"/>
  <c r="E17" i="12" s="1"/>
  <c r="D5" i="12"/>
  <c r="D15" i="12" s="1"/>
  <c r="D17" i="12" s="1"/>
  <c r="C5" i="12"/>
  <c r="C15" i="12" s="1"/>
  <c r="C17" i="12" s="1"/>
  <c r="C20" i="12" s="1"/>
  <c r="V4" i="12"/>
  <c r="W4" i="12" s="1"/>
  <c r="Q4" i="12"/>
  <c r="R4" i="12" s="1"/>
  <c r="J4" i="12"/>
  <c r="J5" i="12" s="1"/>
  <c r="J15" i="12" s="1"/>
  <c r="J17" i="12" s="1"/>
  <c r="G4" i="12"/>
  <c r="H4" i="12" s="1"/>
  <c r="V3" i="12"/>
  <c r="W3" i="12" s="1"/>
  <c r="R3" i="12"/>
  <c r="Q3" i="12"/>
  <c r="M3" i="12"/>
  <c r="L3" i="12"/>
  <c r="G3" i="12"/>
  <c r="H3" i="12" s="1"/>
  <c r="F27" i="9" l="1"/>
  <c r="Q9" i="9"/>
  <c r="R9" i="9" s="1"/>
  <c r="P27" i="9"/>
  <c r="V9" i="9"/>
  <c r="W9" i="9" s="1"/>
  <c r="G9" i="9"/>
  <c r="H9" i="9" s="1"/>
  <c r="L9" i="9"/>
  <c r="M9" i="9" s="1"/>
  <c r="T27" i="9"/>
  <c r="D27" i="9"/>
  <c r="O27" i="9"/>
  <c r="E27" i="9"/>
  <c r="L17" i="9"/>
  <c r="M17" i="9" s="1"/>
  <c r="K27" i="9"/>
  <c r="L27" i="9" s="1"/>
  <c r="M27" i="9" s="1"/>
  <c r="L18" i="9"/>
  <c r="M18" i="9" s="1"/>
  <c r="G3" i="9"/>
  <c r="H3" i="9" s="1"/>
  <c r="U27" i="9"/>
  <c r="Q17" i="9"/>
  <c r="R17" i="9" s="1"/>
  <c r="P47" i="11"/>
  <c r="G84" i="11"/>
  <c r="H84" i="11" s="1"/>
  <c r="G3" i="11"/>
  <c r="H3" i="11" s="1"/>
  <c r="Q25" i="11"/>
  <c r="R25" i="11" s="1"/>
  <c r="J80" i="11"/>
  <c r="V37" i="11"/>
  <c r="W37" i="11" s="1"/>
  <c r="T36" i="11"/>
  <c r="E59" i="11"/>
  <c r="E80" i="11" s="1"/>
  <c r="L59" i="11"/>
  <c r="M59" i="11" s="1"/>
  <c r="K80" i="11"/>
  <c r="L80" i="11" s="1"/>
  <c r="M80" i="11" s="1"/>
  <c r="Q83" i="11"/>
  <c r="R83" i="11" s="1"/>
  <c r="T70" i="11"/>
  <c r="V70" i="11"/>
  <c r="W70" i="11" s="1"/>
  <c r="F49" i="11"/>
  <c r="G49" i="11" s="1"/>
  <c r="H49" i="11" s="1"/>
  <c r="G52" i="11"/>
  <c r="H52" i="11" s="1"/>
  <c r="P82" i="11"/>
  <c r="Q82" i="11" s="1"/>
  <c r="R82" i="11" s="1"/>
  <c r="L82" i="11"/>
  <c r="M82" i="11" s="1"/>
  <c r="G59" i="11"/>
  <c r="H59" i="11" s="1"/>
  <c r="Q84" i="11"/>
  <c r="R84" i="11" s="1"/>
  <c r="P49" i="11"/>
  <c r="Q49" i="11" s="1"/>
  <c r="R49" i="11" s="1"/>
  <c r="Q52" i="11"/>
  <c r="R52" i="11" s="1"/>
  <c r="E82" i="11"/>
  <c r="L84" i="11"/>
  <c r="M84" i="11" s="1"/>
  <c r="T3" i="11"/>
  <c r="O59" i="11"/>
  <c r="O80" i="11" s="1"/>
  <c r="K25" i="11"/>
  <c r="L26" i="11"/>
  <c r="M26" i="11" s="1"/>
  <c r="F82" i="11"/>
  <c r="Q70" i="11"/>
  <c r="R70" i="11" s="1"/>
  <c r="Q4" i="11"/>
  <c r="R4" i="11" s="1"/>
  <c r="V55" i="11"/>
  <c r="W55" i="11" s="1"/>
  <c r="F80" i="11"/>
  <c r="U80" i="11"/>
  <c r="G70" i="11"/>
  <c r="H70" i="11" s="1"/>
  <c r="Q60" i="11"/>
  <c r="R60" i="11" s="1"/>
  <c r="U84" i="11"/>
  <c r="U82" i="11" s="1"/>
  <c r="Q26" i="11"/>
  <c r="R26" i="11" s="1"/>
  <c r="O11" i="11"/>
  <c r="Q11" i="11" s="1"/>
  <c r="R11" i="11" s="1"/>
  <c r="L55" i="11"/>
  <c r="M55" i="11" s="1"/>
  <c r="T11" i="11"/>
  <c r="V11" i="11" s="1"/>
  <c r="W11" i="11" s="1"/>
  <c r="P17" i="12"/>
  <c r="P20" i="12" s="1"/>
  <c r="Q15" i="12"/>
  <c r="L4" i="12"/>
  <c r="M4" i="12" s="1"/>
  <c r="L15" i="12"/>
  <c r="G15" i="12"/>
  <c r="U17" i="12"/>
  <c r="G27" i="9" l="1"/>
  <c r="H27" i="9" s="1"/>
  <c r="Q27" i="9"/>
  <c r="R27" i="9" s="1"/>
  <c r="V27" i="9"/>
  <c r="W27" i="9" s="1"/>
  <c r="K47" i="11"/>
  <c r="L47" i="11" s="1"/>
  <c r="M47" i="11" s="1"/>
  <c r="L25" i="11"/>
  <c r="M25" i="11" s="1"/>
  <c r="T25" i="11"/>
  <c r="V25" i="11" s="1"/>
  <c r="W25" i="11" s="1"/>
  <c r="V36" i="11"/>
  <c r="W36" i="11" s="1"/>
  <c r="V3" i="11"/>
  <c r="W3" i="11" s="1"/>
  <c r="Q59" i="11"/>
  <c r="R59" i="11" s="1"/>
  <c r="V84" i="11"/>
  <c r="W84" i="11" s="1"/>
  <c r="G80" i="11"/>
  <c r="H80" i="11" s="1"/>
  <c r="O3" i="11"/>
  <c r="T84" i="11"/>
  <c r="T82" i="11" s="1"/>
  <c r="V82" i="11" s="1"/>
  <c r="W82" i="11" s="1"/>
  <c r="T59" i="11"/>
  <c r="P80" i="11"/>
  <c r="Q80" i="11" s="1"/>
  <c r="R80" i="11" s="1"/>
  <c r="G82" i="11"/>
  <c r="H82" i="11" s="1"/>
  <c r="U20" i="12"/>
  <c r="V20" i="12" s="1"/>
  <c r="W20" i="12" s="1"/>
  <c r="V17" i="12"/>
  <c r="W17" i="12" s="1"/>
  <c r="Q17" i="12"/>
  <c r="R15" i="12"/>
  <c r="G17" i="12"/>
  <c r="H15" i="12"/>
  <c r="L17" i="12"/>
  <c r="M15" i="12"/>
  <c r="T47" i="11" l="1"/>
  <c r="V47" i="11" s="1"/>
  <c r="W47" i="11" s="1"/>
  <c r="T80" i="11"/>
  <c r="V80" i="11" s="1"/>
  <c r="W80" i="11" s="1"/>
  <c r="V59" i="11"/>
  <c r="W59" i="11" s="1"/>
  <c r="O47" i="11"/>
  <c r="Q47" i="11" s="1"/>
  <c r="R47" i="11" s="1"/>
  <c r="Q3" i="11"/>
  <c r="R3" i="11" s="1"/>
  <c r="L20" i="12"/>
  <c r="M20" i="12" s="1"/>
  <c r="M17" i="12"/>
  <c r="R17" i="12"/>
  <c r="Q20" i="12"/>
  <c r="R20" i="12" s="1"/>
  <c r="H17" i="12"/>
  <c r="G20" i="12"/>
  <c r="H20" i="12" s="1"/>
  <c r="T19" i="10" l="1"/>
  <c r="O19" i="10"/>
  <c r="O18" i="10"/>
  <c r="J19" i="10"/>
  <c r="J18" i="10"/>
  <c r="E19" i="10"/>
  <c r="E18" i="10"/>
  <c r="T18" i="10"/>
  <c r="D19" i="10"/>
  <c r="D18" i="10"/>
  <c r="Q84" i="10"/>
  <c r="R84" i="10" s="1"/>
  <c r="L84" i="10" l="1"/>
  <c r="M84" i="10" s="1"/>
  <c r="L85" i="10"/>
  <c r="L86" i="10"/>
  <c r="E66" i="10" l="1"/>
  <c r="E72" i="10" s="1"/>
  <c r="E54" i="10"/>
  <c r="E60" i="10" s="1"/>
  <c r="T47" i="5" l="1"/>
  <c r="O52" i="5"/>
  <c r="J34" i="5"/>
  <c r="D40" i="5"/>
  <c r="D36" i="5"/>
  <c r="D44" i="5" s="1"/>
  <c r="D21" i="5"/>
  <c r="D34" i="5" s="1"/>
  <c r="D18" i="5"/>
  <c r="D16" i="5" s="1"/>
  <c r="D6" i="5"/>
  <c r="D5" i="5" s="1"/>
  <c r="D19" i="5" s="1"/>
  <c r="D47" i="5" s="1"/>
  <c r="O18" i="5"/>
  <c r="J66" i="2"/>
  <c r="T18" i="5"/>
  <c r="T6" i="5"/>
  <c r="O12" i="5"/>
  <c r="O6" i="5"/>
  <c r="O5" i="5" s="1"/>
  <c r="E170" i="2"/>
  <c r="E3" i="2"/>
  <c r="J3" i="2"/>
  <c r="O3" i="2"/>
  <c r="O164" i="2"/>
  <c r="T162" i="2"/>
  <c r="O131" i="2"/>
  <c r="O122" i="2"/>
  <c r="O117" i="2"/>
  <c r="O115" i="2"/>
  <c r="O94" i="2"/>
  <c r="O89" i="2"/>
  <c r="O63" i="2"/>
  <c r="O5" i="2"/>
  <c r="O4" i="2" s="1"/>
  <c r="O13" i="2"/>
  <c r="O16" i="2"/>
  <c r="O22" i="2"/>
  <c r="O23" i="2"/>
  <c r="O8" i="2"/>
  <c r="O6" i="2"/>
  <c r="O10" i="2"/>
  <c r="O19" i="2"/>
  <c r="O60" i="2"/>
  <c r="O59" i="2"/>
  <c r="O68" i="2"/>
  <c r="O74" i="2"/>
  <c r="O82" i="2"/>
  <c r="O90" i="2"/>
  <c r="O96" i="2"/>
  <c r="O104" i="2"/>
  <c r="O109" i="2"/>
  <c r="O114" i="2"/>
  <c r="O119" i="2"/>
  <c r="O130" i="2"/>
  <c r="O129" i="2" s="1"/>
  <c r="O146" i="2"/>
  <c r="O154" i="2"/>
  <c r="O103" i="2" l="1"/>
  <c r="O66" i="2"/>
  <c r="O58" i="2" l="1"/>
  <c r="O32" i="2" s="1"/>
  <c r="O144" i="2" l="1"/>
  <c r="O172" i="2" s="1"/>
  <c r="O163" i="2"/>
  <c r="O145" i="2" l="1"/>
  <c r="O153" i="2" s="1"/>
  <c r="O173" i="2" s="1"/>
  <c r="P3" i="2" l="1"/>
  <c r="P4" i="2"/>
  <c r="E22" i="2"/>
  <c r="E16" i="2"/>
  <c r="E13" i="2"/>
  <c r="E5" i="2"/>
  <c r="E4" i="2"/>
  <c r="E130" i="2"/>
  <c r="J164" i="2"/>
  <c r="J162" i="2"/>
  <c r="J154" i="2"/>
  <c r="J146" i="2"/>
  <c r="J140" i="2"/>
  <c r="J132" i="2"/>
  <c r="J130" i="2"/>
  <c r="J129" i="2"/>
  <c r="J119" i="2"/>
  <c r="J115" i="2"/>
  <c r="J114" i="2"/>
  <c r="J109" i="2"/>
  <c r="J104" i="2"/>
  <c r="J96" i="2"/>
  <c r="J90" i="2"/>
  <c r="J82" i="2"/>
  <c r="J81" i="2"/>
  <c r="J74" i="2"/>
  <c r="J68" i="2"/>
  <c r="J63" i="2"/>
  <c r="J60" i="2"/>
  <c r="J59" i="2"/>
  <c r="J28" i="2"/>
  <c r="J22" i="2"/>
  <c r="J19" i="2"/>
  <c r="J16" i="2"/>
  <c r="J14" i="2"/>
  <c r="J13" i="2"/>
  <c r="J10" i="2"/>
  <c r="J5" i="2"/>
  <c r="J4" i="2" s="1"/>
  <c r="J47" i="5"/>
  <c r="J17" i="5"/>
  <c r="J18" i="5" s="1"/>
  <c r="J16" i="5" s="1"/>
  <c r="J13" i="5"/>
  <c r="J12" i="5"/>
  <c r="J9" i="5"/>
  <c r="J7" i="5"/>
  <c r="J6" i="5"/>
  <c r="E164" i="2"/>
  <c r="E162" i="2"/>
  <c r="E154" i="2"/>
  <c r="E146" i="2"/>
  <c r="E140" i="2"/>
  <c r="E132" i="2"/>
  <c r="E129" i="2"/>
  <c r="E119" i="2"/>
  <c r="E115" i="2"/>
  <c r="E114" i="2"/>
  <c r="E109" i="2"/>
  <c r="E104" i="2"/>
  <c r="E103" i="2" s="1"/>
  <c r="E96" i="2"/>
  <c r="E90" i="2"/>
  <c r="E87" i="2"/>
  <c r="E82" i="2" s="1"/>
  <c r="E81" i="2"/>
  <c r="E74" i="2" s="1"/>
  <c r="E68" i="2"/>
  <c r="E63" i="2"/>
  <c r="E60" i="2"/>
  <c r="E59" i="2"/>
  <c r="E19" i="2"/>
  <c r="E14" i="2"/>
  <c r="E10" i="2"/>
  <c r="E18" i="5"/>
  <c r="E12" i="5"/>
  <c r="E9" i="5"/>
  <c r="E6" i="5"/>
  <c r="F5" i="5"/>
  <c r="E66" i="2" l="1"/>
  <c r="E58" i="2" s="1"/>
  <c r="J103" i="2"/>
  <c r="J163" i="2"/>
  <c r="E163" i="2"/>
  <c r="J58" i="2" l="1"/>
  <c r="J32" i="2" s="1"/>
  <c r="J144" i="2" s="1"/>
  <c r="J172" i="2" s="1"/>
  <c r="E32" i="2"/>
  <c r="E144" i="2" s="1"/>
  <c r="E172" i="2" s="1"/>
  <c r="J145" i="2" l="1"/>
  <c r="J153" i="2" s="1"/>
  <c r="J173" i="2" s="1"/>
  <c r="E145" i="2"/>
  <c r="E153" i="2" s="1"/>
  <c r="E173" i="2" s="1"/>
  <c r="F16" i="5"/>
  <c r="G40" i="10"/>
  <c r="H40" i="10" s="1"/>
  <c r="G39" i="10"/>
  <c r="H39" i="10" s="1"/>
  <c r="G38" i="10"/>
  <c r="H38" i="10" s="1"/>
  <c r="G37" i="10"/>
  <c r="H37" i="10" s="1"/>
  <c r="G36" i="10"/>
  <c r="H36" i="10" s="1"/>
  <c r="G35" i="10"/>
  <c r="H35" i="10" s="1"/>
  <c r="G34" i="10"/>
  <c r="H34" i="10" s="1"/>
  <c r="G33" i="10"/>
  <c r="H33" i="10" s="1"/>
  <c r="G32" i="10"/>
  <c r="H32" i="10" s="1"/>
  <c r="G30" i="10"/>
  <c r="H30" i="10" s="1"/>
  <c r="G29" i="10"/>
  <c r="H29" i="10" s="1"/>
  <c r="G28" i="10"/>
  <c r="H28" i="10" s="1"/>
  <c r="G27" i="10"/>
  <c r="H27" i="10" s="1"/>
  <c r="G26" i="10"/>
  <c r="H26" i="10" s="1"/>
  <c r="G25" i="10"/>
  <c r="H25" i="10" s="1"/>
  <c r="G24" i="10"/>
  <c r="H24" i="10" s="1"/>
  <c r="G23" i="10"/>
  <c r="H23" i="10" s="1"/>
  <c r="G22" i="10"/>
  <c r="H22" i="10" s="1"/>
  <c r="G21" i="10"/>
  <c r="H21" i="10" s="1"/>
  <c r="G20" i="10"/>
  <c r="H20" i="10" s="1"/>
  <c r="G17" i="10"/>
  <c r="H17" i="10" s="1"/>
  <c r="G16" i="10"/>
  <c r="H16" i="10" s="1"/>
  <c r="G14" i="10"/>
  <c r="H14" i="10" s="1"/>
  <c r="G13" i="10"/>
  <c r="H13" i="10" s="1"/>
  <c r="G12" i="10"/>
  <c r="H12" i="10" s="1"/>
  <c r="G11" i="10"/>
  <c r="H11" i="10" s="1"/>
  <c r="G10" i="10"/>
  <c r="H10" i="10" s="1"/>
  <c r="G9" i="10"/>
  <c r="H9" i="10" s="1"/>
  <c r="G8" i="10"/>
  <c r="H8" i="10" s="1"/>
  <c r="G7" i="10"/>
  <c r="H7" i="10" s="1"/>
  <c r="G6" i="10"/>
  <c r="H6" i="10" s="1"/>
  <c r="G5" i="10"/>
  <c r="H5" i="10" s="1"/>
  <c r="I63" i="2"/>
  <c r="I60" i="2"/>
  <c r="G84" i="10" l="1"/>
  <c r="H84" i="10" s="1"/>
  <c r="G85" i="10"/>
  <c r="H85" i="10" s="1"/>
  <c r="G25" i="2" l="1"/>
  <c r="H25" i="2" s="1"/>
  <c r="G6" i="2"/>
  <c r="H6" i="2" s="1"/>
  <c r="G19" i="10" l="1"/>
  <c r="H19" i="10" s="1"/>
  <c r="G18" i="10"/>
  <c r="H18" i="10" s="1"/>
  <c r="C18" i="5"/>
  <c r="J36" i="5"/>
  <c r="E36" i="5"/>
  <c r="C36" i="5"/>
  <c r="G87" i="10"/>
  <c r="H87" i="10" s="1"/>
  <c r="L87" i="10"/>
  <c r="M87" i="10" s="1"/>
  <c r="C14" i="10" l="1"/>
  <c r="V97" i="2" l="1"/>
  <c r="W97" i="2" s="1"/>
  <c r="L63" i="2"/>
  <c r="M63" i="2"/>
  <c r="N63" i="2"/>
  <c r="P63" i="2"/>
  <c r="Q63" i="2"/>
  <c r="R63" i="2"/>
  <c r="S63" i="2"/>
  <c r="L60" i="2"/>
  <c r="M60" i="2"/>
  <c r="N60" i="2"/>
  <c r="P60" i="2"/>
  <c r="Q60" i="2"/>
  <c r="R60" i="2"/>
  <c r="S60" i="2"/>
  <c r="G60" i="2"/>
  <c r="H60" i="2"/>
  <c r="G63" i="2"/>
  <c r="H63" i="2"/>
  <c r="L143" i="2"/>
  <c r="P96" i="2" l="1"/>
  <c r="Q97" i="2"/>
  <c r="R97" i="2" s="1"/>
  <c r="L97" i="2"/>
  <c r="M97" i="2" s="1"/>
  <c r="G97" i="2"/>
  <c r="H97" i="2" s="1"/>
  <c r="L96" i="2" l="1"/>
  <c r="M96" i="2" s="1"/>
  <c r="Q96" i="2"/>
  <c r="R96" i="2" s="1"/>
  <c r="V91" i="10" l="1"/>
  <c r="W91" i="10" s="1"/>
  <c r="V89" i="10"/>
  <c r="W89" i="10" s="1"/>
  <c r="V88" i="10"/>
  <c r="W88" i="10" s="1"/>
  <c r="V87" i="10"/>
  <c r="W87" i="10" s="1"/>
  <c r="V86" i="10"/>
  <c r="W86" i="10" s="1"/>
  <c r="V85" i="10"/>
  <c r="W85" i="10" s="1"/>
  <c r="V84" i="10"/>
  <c r="W84" i="10" s="1"/>
  <c r="V82" i="10"/>
  <c r="W82" i="10" s="1"/>
  <c r="V81" i="10"/>
  <c r="W81" i="10" s="1"/>
  <c r="V80" i="10"/>
  <c r="W80" i="10" s="1"/>
  <c r="V79" i="10"/>
  <c r="W79" i="10" s="1"/>
  <c r="V77" i="10"/>
  <c r="W77" i="10" s="1"/>
  <c r="V76" i="10"/>
  <c r="W76" i="10" s="1"/>
  <c r="V75" i="10"/>
  <c r="W75" i="10" s="1"/>
  <c r="V74" i="10"/>
  <c r="W74" i="10" s="1"/>
  <c r="V73" i="10"/>
  <c r="W73" i="10" s="1"/>
  <c r="V71" i="10"/>
  <c r="W71" i="10" s="1"/>
  <c r="V70" i="10"/>
  <c r="W70" i="10" s="1"/>
  <c r="V69" i="10"/>
  <c r="W69" i="10" s="1"/>
  <c r="V68" i="10"/>
  <c r="W68" i="10" s="1"/>
  <c r="V67" i="10"/>
  <c r="W67" i="10" s="1"/>
  <c r="U66" i="10"/>
  <c r="U72" i="10" s="1"/>
  <c r="V65" i="10"/>
  <c r="W65" i="10" s="1"/>
  <c r="V64" i="10"/>
  <c r="W64" i="10" s="1"/>
  <c r="V63" i="10"/>
  <c r="W63" i="10" s="1"/>
  <c r="V62" i="10"/>
  <c r="W62" i="10" s="1"/>
  <c r="V61" i="10"/>
  <c r="W61" i="10" s="1"/>
  <c r="V59" i="10"/>
  <c r="W59" i="10" s="1"/>
  <c r="V58" i="10"/>
  <c r="W58" i="10" s="1"/>
  <c r="V57" i="10"/>
  <c r="W57" i="10" s="1"/>
  <c r="V56" i="10"/>
  <c r="W56" i="10" s="1"/>
  <c r="V55" i="10"/>
  <c r="W55" i="10" s="1"/>
  <c r="U54" i="10"/>
  <c r="U60" i="10" s="1"/>
  <c r="V52" i="10"/>
  <c r="W52" i="10" s="1"/>
  <c r="V51" i="10"/>
  <c r="W51" i="10" s="1"/>
  <c r="V50" i="10"/>
  <c r="W50" i="10" s="1"/>
  <c r="V49" i="10"/>
  <c r="W49" i="10" s="1"/>
  <c r="V48" i="10"/>
  <c r="W48" i="10" s="1"/>
  <c r="V46" i="10"/>
  <c r="W46" i="10" s="1"/>
  <c r="V45" i="10"/>
  <c r="W45" i="10" s="1"/>
  <c r="V44" i="10"/>
  <c r="W44" i="10" s="1"/>
  <c r="V43" i="10"/>
  <c r="W43" i="10" s="1"/>
  <c r="V42" i="10"/>
  <c r="W42" i="10" s="1"/>
  <c r="V40" i="10"/>
  <c r="W40" i="10" s="1"/>
  <c r="V39" i="10"/>
  <c r="W39" i="10" s="1"/>
  <c r="V38" i="10"/>
  <c r="W38" i="10" s="1"/>
  <c r="V37" i="10"/>
  <c r="W37" i="10" s="1"/>
  <c r="V36" i="10"/>
  <c r="W36" i="10" s="1"/>
  <c r="V35" i="10"/>
  <c r="W35" i="10" s="1"/>
  <c r="V34" i="10"/>
  <c r="W34" i="10" s="1"/>
  <c r="V33" i="10"/>
  <c r="W33" i="10" s="1"/>
  <c r="U32" i="10"/>
  <c r="V30" i="10"/>
  <c r="W30" i="10" s="1"/>
  <c r="V29" i="10"/>
  <c r="W29" i="10" s="1"/>
  <c r="V28" i="10"/>
  <c r="W28" i="10" s="1"/>
  <c r="V27" i="10"/>
  <c r="W27" i="10" s="1"/>
  <c r="V26" i="10"/>
  <c r="W26" i="10" s="1"/>
  <c r="V25" i="10"/>
  <c r="W25" i="10" s="1"/>
  <c r="V24" i="10"/>
  <c r="W24" i="10" s="1"/>
  <c r="V23" i="10"/>
  <c r="W23" i="10" s="1"/>
  <c r="V22" i="10"/>
  <c r="W22" i="10" s="1"/>
  <c r="V21" i="10"/>
  <c r="W21" i="10" s="1"/>
  <c r="V20" i="10"/>
  <c r="W20" i="10" s="1"/>
  <c r="V19" i="10"/>
  <c r="W19" i="10" s="1"/>
  <c r="V18" i="10"/>
  <c r="W18" i="10" s="1"/>
  <c r="V17" i="10"/>
  <c r="W17" i="10" s="1"/>
  <c r="V16" i="10"/>
  <c r="W16" i="10" s="1"/>
  <c r="V13" i="10"/>
  <c r="W13" i="10" s="1"/>
  <c r="U11" i="10"/>
  <c r="V10" i="10"/>
  <c r="W10" i="10" s="1"/>
  <c r="V9" i="10"/>
  <c r="W9" i="10" s="1"/>
  <c r="U8" i="10"/>
  <c r="U5" i="10" s="1"/>
  <c r="V7" i="10"/>
  <c r="W7" i="10" s="1"/>
  <c r="V6" i="10"/>
  <c r="W6" i="10" s="1"/>
  <c r="Q89" i="10"/>
  <c r="R89" i="10" s="1"/>
  <c r="Q88" i="10"/>
  <c r="R88" i="10" s="1"/>
  <c r="Q87" i="10"/>
  <c r="R87" i="10" s="1"/>
  <c r="Q86" i="10"/>
  <c r="R86" i="10" s="1"/>
  <c r="Q85" i="10"/>
  <c r="R85" i="10" s="1"/>
  <c r="Q82" i="10"/>
  <c r="R82" i="10" s="1"/>
  <c r="Q81" i="10"/>
  <c r="R81" i="10" s="1"/>
  <c r="Q80" i="10"/>
  <c r="R80" i="10" s="1"/>
  <c r="Q79" i="10"/>
  <c r="R79" i="10" s="1"/>
  <c r="Q77" i="10"/>
  <c r="R77" i="10" s="1"/>
  <c r="Q76" i="10"/>
  <c r="R76" i="10" s="1"/>
  <c r="Q75" i="10"/>
  <c r="R75" i="10" s="1"/>
  <c r="Q74" i="10"/>
  <c r="R74" i="10" s="1"/>
  <c r="Q73" i="10"/>
  <c r="R73" i="10" s="1"/>
  <c r="Q71" i="10"/>
  <c r="R71" i="10" s="1"/>
  <c r="Q70" i="10"/>
  <c r="R70" i="10" s="1"/>
  <c r="Q69" i="10"/>
  <c r="R69" i="10" s="1"/>
  <c r="Q68" i="10"/>
  <c r="R68" i="10" s="1"/>
  <c r="Q67" i="10"/>
  <c r="R67" i="10" s="1"/>
  <c r="P66" i="10"/>
  <c r="P72" i="10" s="1"/>
  <c r="Q65" i="10"/>
  <c r="R65" i="10" s="1"/>
  <c r="Q64" i="10"/>
  <c r="R64" i="10" s="1"/>
  <c r="Q63" i="10"/>
  <c r="R63" i="10" s="1"/>
  <c r="Q62" i="10"/>
  <c r="R62" i="10" s="1"/>
  <c r="Q61" i="10"/>
  <c r="R61" i="10" s="1"/>
  <c r="Q59" i="10"/>
  <c r="R59" i="10" s="1"/>
  <c r="Q58" i="10"/>
  <c r="R58" i="10" s="1"/>
  <c r="Q57" i="10"/>
  <c r="R57" i="10" s="1"/>
  <c r="Q56" i="10"/>
  <c r="R56" i="10" s="1"/>
  <c r="Q55" i="10"/>
  <c r="R55" i="10" s="1"/>
  <c r="P54" i="10"/>
  <c r="Q52" i="10"/>
  <c r="R52" i="10" s="1"/>
  <c r="Q51" i="10"/>
  <c r="R51" i="10" s="1"/>
  <c r="Q50" i="10"/>
  <c r="R50" i="10" s="1"/>
  <c r="Q49" i="10"/>
  <c r="R49" i="10" s="1"/>
  <c r="Q48" i="10"/>
  <c r="R48" i="10" s="1"/>
  <c r="Q46" i="10"/>
  <c r="R46" i="10" s="1"/>
  <c r="Q45" i="10"/>
  <c r="R45" i="10" s="1"/>
  <c r="Q44" i="10"/>
  <c r="R44" i="10" s="1"/>
  <c r="Q43" i="10"/>
  <c r="R43" i="10" s="1"/>
  <c r="Q42" i="10"/>
  <c r="R42" i="10" s="1"/>
  <c r="R19" i="10"/>
  <c r="Q18" i="10"/>
  <c r="R18" i="10" s="1"/>
  <c r="L89" i="10"/>
  <c r="M89" i="10" s="1"/>
  <c r="L88" i="10"/>
  <c r="M88" i="10" s="1"/>
  <c r="M86" i="10"/>
  <c r="M85" i="10"/>
  <c r="L82" i="10"/>
  <c r="M82" i="10" s="1"/>
  <c r="L81" i="10"/>
  <c r="M81" i="10" s="1"/>
  <c r="L80" i="10"/>
  <c r="M80" i="10" s="1"/>
  <c r="L79" i="10"/>
  <c r="M79" i="10" s="1"/>
  <c r="L77" i="10"/>
  <c r="M77" i="10" s="1"/>
  <c r="L76" i="10"/>
  <c r="M76" i="10" s="1"/>
  <c r="L75" i="10"/>
  <c r="M75" i="10" s="1"/>
  <c r="L74" i="10"/>
  <c r="M74" i="10" s="1"/>
  <c r="L73" i="10"/>
  <c r="M73" i="10" s="1"/>
  <c r="L71" i="10"/>
  <c r="M71" i="10" s="1"/>
  <c r="L70" i="10"/>
  <c r="M70" i="10" s="1"/>
  <c r="L69" i="10"/>
  <c r="M69" i="10" s="1"/>
  <c r="L68" i="10"/>
  <c r="M68" i="10" s="1"/>
  <c r="L67" i="10"/>
  <c r="M67" i="10" s="1"/>
  <c r="K66" i="10"/>
  <c r="L65" i="10"/>
  <c r="M65" i="10" s="1"/>
  <c r="L64" i="10"/>
  <c r="M64" i="10" s="1"/>
  <c r="L63" i="10"/>
  <c r="M63" i="10" s="1"/>
  <c r="L62" i="10"/>
  <c r="M62" i="10" s="1"/>
  <c r="L61" i="10"/>
  <c r="M61" i="10" s="1"/>
  <c r="L59" i="10"/>
  <c r="M59" i="10" s="1"/>
  <c r="L58" i="10"/>
  <c r="M58" i="10" s="1"/>
  <c r="L57" i="10"/>
  <c r="M57" i="10" s="1"/>
  <c r="L56" i="10"/>
  <c r="M56" i="10" s="1"/>
  <c r="L55" i="10"/>
  <c r="M55" i="10" s="1"/>
  <c r="K54" i="10"/>
  <c r="K60" i="10" s="1"/>
  <c r="L52" i="10"/>
  <c r="M52" i="10" s="1"/>
  <c r="L51" i="10"/>
  <c r="M51" i="10" s="1"/>
  <c r="L50" i="10"/>
  <c r="M50" i="10" s="1"/>
  <c r="L49" i="10"/>
  <c r="M49" i="10" s="1"/>
  <c r="L48" i="10"/>
  <c r="M48" i="10" s="1"/>
  <c r="L46" i="10"/>
  <c r="M46" i="10" s="1"/>
  <c r="L45" i="10"/>
  <c r="M45" i="10" s="1"/>
  <c r="L44" i="10"/>
  <c r="M44" i="10" s="1"/>
  <c r="L43" i="10"/>
  <c r="M43" i="10" s="1"/>
  <c r="L42" i="10"/>
  <c r="M42" i="10" s="1"/>
  <c r="L19" i="10"/>
  <c r="M19" i="10" s="1"/>
  <c r="L18" i="10"/>
  <c r="M18" i="10" s="1"/>
  <c r="V54" i="5"/>
  <c r="W54" i="5" s="1"/>
  <c r="V53" i="5"/>
  <c r="W53" i="5" s="1"/>
  <c r="V52" i="5"/>
  <c r="W52" i="5" s="1"/>
  <c r="V51" i="5"/>
  <c r="W51" i="5" s="1"/>
  <c r="V50" i="5"/>
  <c r="W50" i="5" s="1"/>
  <c r="V49" i="5"/>
  <c r="W49" i="5" s="1"/>
  <c r="V48" i="5"/>
  <c r="W48" i="5" s="1"/>
  <c r="V46" i="5"/>
  <c r="W46" i="5" s="1"/>
  <c r="V45" i="5"/>
  <c r="W45" i="5" s="1"/>
  <c r="V43" i="5"/>
  <c r="W43" i="5" s="1"/>
  <c r="V42" i="5"/>
  <c r="W42" i="5" s="1"/>
  <c r="V41" i="5"/>
  <c r="W41" i="5" s="1"/>
  <c r="U40" i="5"/>
  <c r="T40" i="5"/>
  <c r="V39" i="5"/>
  <c r="W39" i="5" s="1"/>
  <c r="V38" i="5"/>
  <c r="W38" i="5" s="1"/>
  <c r="V37" i="5"/>
  <c r="W37" i="5" s="1"/>
  <c r="U36" i="5"/>
  <c r="T36" i="5"/>
  <c r="W35" i="5"/>
  <c r="V33" i="5"/>
  <c r="W33" i="5" s="1"/>
  <c r="V32" i="5"/>
  <c r="W32" i="5" s="1"/>
  <c r="V31" i="5"/>
  <c r="W31" i="5" s="1"/>
  <c r="V30" i="5"/>
  <c r="W30" i="5" s="1"/>
  <c r="U29" i="5"/>
  <c r="U27" i="5" s="1"/>
  <c r="V28" i="5"/>
  <c r="W28" i="5" s="1"/>
  <c r="V26" i="5"/>
  <c r="W26" i="5" s="1"/>
  <c r="V25" i="5"/>
  <c r="W25" i="5" s="1"/>
  <c r="V24" i="5"/>
  <c r="W24" i="5" s="1"/>
  <c r="V23" i="5"/>
  <c r="W23" i="5" s="1"/>
  <c r="V22" i="5"/>
  <c r="W22" i="5" s="1"/>
  <c r="U21" i="5"/>
  <c r="T21" i="5"/>
  <c r="W20" i="5"/>
  <c r="V18" i="5"/>
  <c r="W18" i="5" s="1"/>
  <c r="V17" i="5"/>
  <c r="W17" i="5" s="1"/>
  <c r="U16" i="5"/>
  <c r="T16" i="5"/>
  <c r="V15" i="5"/>
  <c r="W15" i="5" s="1"/>
  <c r="V14" i="5"/>
  <c r="W14" i="5" s="1"/>
  <c r="V13" i="5"/>
  <c r="W13" i="5" s="1"/>
  <c r="V12" i="5"/>
  <c r="W12" i="5" s="1"/>
  <c r="V11" i="5"/>
  <c r="W11" i="5" s="1"/>
  <c r="V10" i="5"/>
  <c r="W10" i="5" s="1"/>
  <c r="V9" i="5"/>
  <c r="W9" i="5" s="1"/>
  <c r="V8" i="5"/>
  <c r="W8" i="5" s="1"/>
  <c r="V7" i="5"/>
  <c r="W7" i="5" s="1"/>
  <c r="U6" i="5"/>
  <c r="U5" i="5" s="1"/>
  <c r="T5" i="5"/>
  <c r="U3" i="5"/>
  <c r="Q54" i="5"/>
  <c r="R54" i="5" s="1"/>
  <c r="Q53" i="5"/>
  <c r="R53" i="5" s="1"/>
  <c r="Q52" i="5"/>
  <c r="R52" i="5" s="1"/>
  <c r="Q51" i="5"/>
  <c r="R51" i="5" s="1"/>
  <c r="Q50" i="5"/>
  <c r="R50" i="5" s="1"/>
  <c r="Q49" i="5"/>
  <c r="R49" i="5" s="1"/>
  <c r="Q48" i="5"/>
  <c r="R48" i="5" s="1"/>
  <c r="Q46" i="5"/>
  <c r="R46" i="5" s="1"/>
  <c r="Q45" i="5"/>
  <c r="R45" i="5" s="1"/>
  <c r="Q43" i="5"/>
  <c r="R43" i="5" s="1"/>
  <c r="Q42" i="5"/>
  <c r="R42" i="5" s="1"/>
  <c r="Q41" i="5"/>
  <c r="R41" i="5" s="1"/>
  <c r="P40" i="5"/>
  <c r="O40" i="5"/>
  <c r="Q39" i="5"/>
  <c r="R39" i="5" s="1"/>
  <c r="Q38" i="5"/>
  <c r="R38" i="5" s="1"/>
  <c r="Q37" i="5"/>
  <c r="R37" i="5" s="1"/>
  <c r="P36" i="5"/>
  <c r="O36" i="5"/>
  <c r="R35" i="5"/>
  <c r="Q33" i="5"/>
  <c r="R33" i="5" s="1"/>
  <c r="Q32" i="5"/>
  <c r="R32" i="5" s="1"/>
  <c r="Q31" i="5"/>
  <c r="R31" i="5" s="1"/>
  <c r="Q30" i="5"/>
  <c r="R30" i="5" s="1"/>
  <c r="P29" i="5"/>
  <c r="Q28" i="5"/>
  <c r="R28" i="5" s="1"/>
  <c r="Q26" i="5"/>
  <c r="R26" i="5" s="1"/>
  <c r="Q25" i="5"/>
  <c r="R25" i="5" s="1"/>
  <c r="Q24" i="5"/>
  <c r="R24" i="5" s="1"/>
  <c r="Q23" i="5"/>
  <c r="R23" i="5" s="1"/>
  <c r="Q22" i="5"/>
  <c r="R22" i="5" s="1"/>
  <c r="P21" i="5"/>
  <c r="O21" i="5"/>
  <c r="R20" i="5"/>
  <c r="Q18" i="5"/>
  <c r="R18" i="5" s="1"/>
  <c r="Q17" i="5"/>
  <c r="R17" i="5" s="1"/>
  <c r="P16" i="5"/>
  <c r="O16" i="5"/>
  <c r="Q15" i="5"/>
  <c r="R15" i="5" s="1"/>
  <c r="Q14" i="5"/>
  <c r="R14" i="5" s="1"/>
  <c r="Q13" i="5"/>
  <c r="R13" i="5" s="1"/>
  <c r="Q12" i="5"/>
  <c r="R12" i="5" s="1"/>
  <c r="Q11" i="5"/>
  <c r="R11" i="5" s="1"/>
  <c r="Q10" i="5"/>
  <c r="R10" i="5" s="1"/>
  <c r="Q9" i="5"/>
  <c r="R9" i="5" s="1"/>
  <c r="Q8" i="5"/>
  <c r="R8" i="5" s="1"/>
  <c r="Q7" i="5"/>
  <c r="R7" i="5" s="1"/>
  <c r="P6" i="5"/>
  <c r="P5" i="5" s="1"/>
  <c r="P3" i="5"/>
  <c r="L54" i="5"/>
  <c r="M54" i="5" s="1"/>
  <c r="L53" i="5"/>
  <c r="M53" i="5" s="1"/>
  <c r="L52" i="5"/>
  <c r="M52" i="5" s="1"/>
  <c r="L51" i="5"/>
  <c r="M51" i="5" s="1"/>
  <c r="L50" i="5"/>
  <c r="M50" i="5" s="1"/>
  <c r="L49" i="5"/>
  <c r="M49" i="5" s="1"/>
  <c r="L48" i="5"/>
  <c r="M48" i="5" s="1"/>
  <c r="L46" i="5"/>
  <c r="M46" i="5" s="1"/>
  <c r="L45" i="5"/>
  <c r="M45" i="5" s="1"/>
  <c r="L43" i="5"/>
  <c r="M43" i="5" s="1"/>
  <c r="L42" i="5"/>
  <c r="M42" i="5" s="1"/>
  <c r="L41" i="5"/>
  <c r="M41" i="5" s="1"/>
  <c r="K40" i="5"/>
  <c r="J40" i="5"/>
  <c r="L39" i="5"/>
  <c r="M39" i="5" s="1"/>
  <c r="L38" i="5"/>
  <c r="M38" i="5" s="1"/>
  <c r="L37" i="5"/>
  <c r="M37" i="5" s="1"/>
  <c r="K36" i="5"/>
  <c r="M35" i="5"/>
  <c r="L33" i="5"/>
  <c r="M33" i="5" s="1"/>
  <c r="L32" i="5"/>
  <c r="M32" i="5" s="1"/>
  <c r="L31" i="5"/>
  <c r="M31" i="5" s="1"/>
  <c r="L30" i="5"/>
  <c r="M30" i="5" s="1"/>
  <c r="K27" i="5"/>
  <c r="K34" i="5" s="1"/>
  <c r="J27" i="5"/>
  <c r="L28" i="5"/>
  <c r="M28" i="5" s="1"/>
  <c r="L26" i="5"/>
  <c r="M26" i="5" s="1"/>
  <c r="L25" i="5"/>
  <c r="M25" i="5" s="1"/>
  <c r="L24" i="5"/>
  <c r="M24" i="5" s="1"/>
  <c r="L23" i="5"/>
  <c r="M23" i="5" s="1"/>
  <c r="L22" i="5"/>
  <c r="M22" i="5" s="1"/>
  <c r="K21" i="5"/>
  <c r="J21" i="5"/>
  <c r="M20" i="5"/>
  <c r="L18" i="5"/>
  <c r="M18" i="5" s="1"/>
  <c r="L17" i="5"/>
  <c r="M17" i="5" s="1"/>
  <c r="K16" i="5"/>
  <c r="L15" i="5"/>
  <c r="M15" i="5" s="1"/>
  <c r="L14" i="5"/>
  <c r="M14" i="5" s="1"/>
  <c r="L13" i="5"/>
  <c r="M13" i="5" s="1"/>
  <c r="L12" i="5"/>
  <c r="M12" i="5" s="1"/>
  <c r="L11" i="5"/>
  <c r="M11" i="5" s="1"/>
  <c r="L10" i="5"/>
  <c r="M10" i="5" s="1"/>
  <c r="L9" i="5"/>
  <c r="M9" i="5" s="1"/>
  <c r="L8" i="5"/>
  <c r="M8" i="5" s="1"/>
  <c r="L7" i="5"/>
  <c r="M7" i="5" s="1"/>
  <c r="K5" i="5"/>
  <c r="J5" i="5"/>
  <c r="V171" i="2"/>
  <c r="W171" i="2" s="1"/>
  <c r="V170" i="2"/>
  <c r="W170" i="2" s="1"/>
  <c r="V169" i="2"/>
  <c r="W169" i="2" s="1"/>
  <c r="V168" i="2"/>
  <c r="W168" i="2" s="1"/>
  <c r="V167" i="2"/>
  <c r="W167" i="2" s="1"/>
  <c r="V166" i="2"/>
  <c r="W166" i="2" s="1"/>
  <c r="V165" i="2"/>
  <c r="W165" i="2" s="1"/>
  <c r="U164" i="2"/>
  <c r="V162" i="2"/>
  <c r="W162" i="2" s="1"/>
  <c r="V161" i="2"/>
  <c r="W161" i="2" s="1"/>
  <c r="V160" i="2"/>
  <c r="W160" i="2" s="1"/>
  <c r="V159" i="2"/>
  <c r="W159" i="2" s="1"/>
  <c r="V158" i="2"/>
  <c r="W158" i="2" s="1"/>
  <c r="V157" i="2"/>
  <c r="W157" i="2" s="1"/>
  <c r="V156" i="2"/>
  <c r="W156" i="2" s="1"/>
  <c r="V155" i="2"/>
  <c r="W155" i="2" s="1"/>
  <c r="U154" i="2"/>
  <c r="V152" i="2"/>
  <c r="W152" i="2" s="1"/>
  <c r="V151" i="2"/>
  <c r="W151" i="2" s="1"/>
  <c r="V150" i="2"/>
  <c r="W150" i="2" s="1"/>
  <c r="V149" i="2"/>
  <c r="W149" i="2" s="1"/>
  <c r="U148" i="2"/>
  <c r="U146" i="2" s="1"/>
  <c r="V147" i="2"/>
  <c r="W147" i="2" s="1"/>
  <c r="V138" i="2"/>
  <c r="W138" i="2" s="1"/>
  <c r="V137" i="2"/>
  <c r="W137" i="2" s="1"/>
  <c r="V136" i="2"/>
  <c r="W136" i="2" s="1"/>
  <c r="V135" i="2"/>
  <c r="W135" i="2" s="1"/>
  <c r="V134" i="2"/>
  <c r="W134" i="2" s="1"/>
  <c r="V133" i="2"/>
  <c r="W133" i="2" s="1"/>
  <c r="V132" i="2"/>
  <c r="W132" i="2" s="1"/>
  <c r="V131" i="2"/>
  <c r="W131" i="2" s="1"/>
  <c r="U130" i="2"/>
  <c r="U129" i="2" s="1"/>
  <c r="V128" i="2"/>
  <c r="W128" i="2" s="1"/>
  <c r="V127" i="2"/>
  <c r="W127" i="2" s="1"/>
  <c r="V126" i="2"/>
  <c r="W126" i="2" s="1"/>
  <c r="V125" i="2"/>
  <c r="W125" i="2" s="1"/>
  <c r="V124" i="2"/>
  <c r="W124" i="2" s="1"/>
  <c r="V123" i="2"/>
  <c r="W123" i="2" s="1"/>
  <c r="V122" i="2"/>
  <c r="W122" i="2" s="1"/>
  <c r="V121" i="2"/>
  <c r="W121" i="2" s="1"/>
  <c r="V120" i="2"/>
  <c r="W120" i="2" s="1"/>
  <c r="U119" i="2"/>
  <c r="V118" i="2"/>
  <c r="W118" i="2" s="1"/>
  <c r="V117" i="2"/>
  <c r="W117" i="2" s="1"/>
  <c r="V116" i="2"/>
  <c r="W116" i="2" s="1"/>
  <c r="V115" i="2"/>
  <c r="W115" i="2" s="1"/>
  <c r="U114" i="2"/>
  <c r="V113" i="2"/>
  <c r="W113" i="2" s="1"/>
  <c r="V112" i="2"/>
  <c r="W112" i="2" s="1"/>
  <c r="V111" i="2"/>
  <c r="W111" i="2" s="1"/>
  <c r="V110" i="2"/>
  <c r="W110" i="2" s="1"/>
  <c r="U109" i="2"/>
  <c r="V108" i="2"/>
  <c r="W108" i="2" s="1"/>
  <c r="V107" i="2"/>
  <c r="W107" i="2" s="1"/>
  <c r="V106" i="2"/>
  <c r="W106" i="2" s="1"/>
  <c r="V105" i="2"/>
  <c r="W105" i="2" s="1"/>
  <c r="U104" i="2"/>
  <c r="V102" i="2"/>
  <c r="W102" i="2" s="1"/>
  <c r="V101" i="2"/>
  <c r="W101" i="2" s="1"/>
  <c r="V100" i="2"/>
  <c r="W100" i="2" s="1"/>
  <c r="V99" i="2"/>
  <c r="W99" i="2" s="1"/>
  <c r="V98" i="2"/>
  <c r="W98" i="2" s="1"/>
  <c r="U96" i="2"/>
  <c r="V95" i="2"/>
  <c r="W95" i="2" s="1"/>
  <c r="V94" i="2"/>
  <c r="W94" i="2" s="1"/>
  <c r="V93" i="2"/>
  <c r="W93" i="2" s="1"/>
  <c r="V92" i="2"/>
  <c r="W92" i="2" s="1"/>
  <c r="V91" i="2"/>
  <c r="W91" i="2" s="1"/>
  <c r="U90" i="2"/>
  <c r="V89" i="2"/>
  <c r="W89" i="2" s="1"/>
  <c r="V88" i="2"/>
  <c r="W88" i="2" s="1"/>
  <c r="V87" i="2"/>
  <c r="W87" i="2" s="1"/>
  <c r="V86" i="2"/>
  <c r="W86" i="2" s="1"/>
  <c r="V85" i="2"/>
  <c r="W85" i="2" s="1"/>
  <c r="V84" i="2"/>
  <c r="W84" i="2" s="1"/>
  <c r="V83" i="2"/>
  <c r="W83" i="2" s="1"/>
  <c r="U82" i="2"/>
  <c r="V81" i="2"/>
  <c r="W81" i="2" s="1"/>
  <c r="V80" i="2"/>
  <c r="W80" i="2" s="1"/>
  <c r="V79" i="2"/>
  <c r="W79" i="2" s="1"/>
  <c r="V78" i="2"/>
  <c r="W78" i="2" s="1"/>
  <c r="V77" i="2"/>
  <c r="W77" i="2" s="1"/>
  <c r="V76" i="2"/>
  <c r="W76" i="2" s="1"/>
  <c r="V75" i="2"/>
  <c r="W75" i="2" s="1"/>
  <c r="U74" i="2"/>
  <c r="V73" i="2"/>
  <c r="W73" i="2" s="1"/>
  <c r="V72" i="2"/>
  <c r="W72" i="2" s="1"/>
  <c r="V71" i="2"/>
  <c r="W71" i="2" s="1"/>
  <c r="V70" i="2"/>
  <c r="W70" i="2" s="1"/>
  <c r="V69" i="2"/>
  <c r="W69" i="2" s="1"/>
  <c r="U68" i="2"/>
  <c r="V67" i="2"/>
  <c r="W67" i="2" s="1"/>
  <c r="V57" i="2"/>
  <c r="W57" i="2" s="1"/>
  <c r="V56" i="2"/>
  <c r="W56" i="2" s="1"/>
  <c r="V55" i="2"/>
  <c r="W55" i="2" s="1"/>
  <c r="V54" i="2"/>
  <c r="W54" i="2" s="1"/>
  <c r="V53" i="2"/>
  <c r="W53" i="2" s="1"/>
  <c r="U52" i="2"/>
  <c r="U50" i="2" s="1"/>
  <c r="V51" i="2"/>
  <c r="W51" i="2" s="1"/>
  <c r="V49" i="2"/>
  <c r="W49" i="2" s="1"/>
  <c r="V48" i="2"/>
  <c r="W48" i="2" s="1"/>
  <c r="V47" i="2"/>
  <c r="W47" i="2" s="1"/>
  <c r="V46" i="2"/>
  <c r="W46" i="2" s="1"/>
  <c r="V45" i="2"/>
  <c r="W45" i="2" s="1"/>
  <c r="V44" i="2"/>
  <c r="W44" i="2" s="1"/>
  <c r="V43" i="2"/>
  <c r="W43" i="2" s="1"/>
  <c r="V42" i="2"/>
  <c r="W42" i="2" s="1"/>
  <c r="V41" i="2"/>
  <c r="W41" i="2" s="1"/>
  <c r="V40" i="2"/>
  <c r="W40" i="2" s="1"/>
  <c r="U39" i="2"/>
  <c r="V38" i="2"/>
  <c r="W38" i="2" s="1"/>
  <c r="V36" i="2"/>
  <c r="W36" i="2" s="1"/>
  <c r="U35" i="2"/>
  <c r="V31" i="2"/>
  <c r="W31" i="2" s="1"/>
  <c r="V30" i="2"/>
  <c r="W30" i="2" s="1"/>
  <c r="V29" i="2"/>
  <c r="W29" i="2" s="1"/>
  <c r="V28" i="2"/>
  <c r="W28" i="2" s="1"/>
  <c r="V27" i="2"/>
  <c r="W27" i="2" s="1"/>
  <c r="V26" i="2"/>
  <c r="W26" i="2" s="1"/>
  <c r="V24" i="2"/>
  <c r="W24" i="2" s="1"/>
  <c r="V23" i="2"/>
  <c r="W23" i="2" s="1"/>
  <c r="U22" i="2"/>
  <c r="V21" i="2"/>
  <c r="W21" i="2" s="1"/>
  <c r="V20" i="2"/>
  <c r="W20" i="2" s="1"/>
  <c r="U19" i="2"/>
  <c r="V18" i="2"/>
  <c r="W18" i="2" s="1"/>
  <c r="V17" i="2"/>
  <c r="W17" i="2" s="1"/>
  <c r="U16" i="2"/>
  <c r="V15" i="2"/>
  <c r="W15" i="2" s="1"/>
  <c r="V14" i="2"/>
  <c r="W14" i="2" s="1"/>
  <c r="U13" i="2"/>
  <c r="V12" i="2"/>
  <c r="W12" i="2" s="1"/>
  <c r="V11" i="2"/>
  <c r="W11" i="2" s="1"/>
  <c r="U10" i="2"/>
  <c r="V9" i="2"/>
  <c r="W9" i="2" s="1"/>
  <c r="V8" i="2"/>
  <c r="W8" i="2" s="1"/>
  <c r="V7" i="2"/>
  <c r="W7" i="2" s="1"/>
  <c r="V6" i="2"/>
  <c r="W6" i="2" s="1"/>
  <c r="U5" i="2"/>
  <c r="Q171" i="2"/>
  <c r="R171" i="2" s="1"/>
  <c r="Q170" i="2"/>
  <c r="R170" i="2" s="1"/>
  <c r="Q169" i="2"/>
  <c r="R169" i="2" s="1"/>
  <c r="Q168" i="2"/>
  <c r="R168" i="2" s="1"/>
  <c r="Q167" i="2"/>
  <c r="R167" i="2" s="1"/>
  <c r="Q166" i="2"/>
  <c r="R166" i="2" s="1"/>
  <c r="Q165" i="2"/>
  <c r="R165" i="2" s="1"/>
  <c r="P164" i="2"/>
  <c r="Q162" i="2"/>
  <c r="R162" i="2" s="1"/>
  <c r="Q161" i="2"/>
  <c r="R161" i="2" s="1"/>
  <c r="Q160" i="2"/>
  <c r="R160" i="2" s="1"/>
  <c r="Q159" i="2"/>
  <c r="R159" i="2" s="1"/>
  <c r="Q158" i="2"/>
  <c r="R158" i="2" s="1"/>
  <c r="Q157" i="2"/>
  <c r="R157" i="2" s="1"/>
  <c r="Q156" i="2"/>
  <c r="R156" i="2" s="1"/>
  <c r="Q155" i="2"/>
  <c r="R155" i="2" s="1"/>
  <c r="P154" i="2"/>
  <c r="Q152" i="2"/>
  <c r="R152" i="2" s="1"/>
  <c r="Q151" i="2"/>
  <c r="R151" i="2" s="1"/>
  <c r="Q150" i="2"/>
  <c r="R150" i="2" s="1"/>
  <c r="Q149" i="2"/>
  <c r="R149" i="2" s="1"/>
  <c r="P148" i="2"/>
  <c r="Q147" i="2"/>
  <c r="R147" i="2" s="1"/>
  <c r="Q138" i="2"/>
  <c r="R138" i="2" s="1"/>
  <c r="Q137" i="2"/>
  <c r="R137" i="2" s="1"/>
  <c r="Q136" i="2"/>
  <c r="R136" i="2" s="1"/>
  <c r="Q135" i="2"/>
  <c r="R135" i="2" s="1"/>
  <c r="Q134" i="2"/>
  <c r="R134" i="2" s="1"/>
  <c r="Q133" i="2"/>
  <c r="R133" i="2" s="1"/>
  <c r="Q132" i="2"/>
  <c r="R132" i="2" s="1"/>
  <c r="Q131" i="2"/>
  <c r="R131" i="2" s="1"/>
  <c r="P130" i="2"/>
  <c r="P129" i="2" s="1"/>
  <c r="Q128" i="2"/>
  <c r="R128" i="2" s="1"/>
  <c r="Q127" i="2"/>
  <c r="R127" i="2" s="1"/>
  <c r="Q126" i="2"/>
  <c r="R126" i="2" s="1"/>
  <c r="Q125" i="2"/>
  <c r="R125" i="2" s="1"/>
  <c r="Q124" i="2"/>
  <c r="R124" i="2" s="1"/>
  <c r="Q123" i="2"/>
  <c r="R123" i="2" s="1"/>
  <c r="Q122" i="2"/>
  <c r="R122" i="2" s="1"/>
  <c r="Q121" i="2"/>
  <c r="R121" i="2" s="1"/>
  <c r="Q120" i="2"/>
  <c r="R120" i="2" s="1"/>
  <c r="P119" i="2"/>
  <c r="Q118" i="2"/>
  <c r="R118" i="2" s="1"/>
  <c r="Q117" i="2"/>
  <c r="R117" i="2" s="1"/>
  <c r="Q116" i="2"/>
  <c r="R116" i="2" s="1"/>
  <c r="Q115" i="2"/>
  <c r="R115" i="2" s="1"/>
  <c r="P114" i="2"/>
  <c r="Q113" i="2"/>
  <c r="R113" i="2" s="1"/>
  <c r="Q112" i="2"/>
  <c r="R112" i="2" s="1"/>
  <c r="Q111" i="2"/>
  <c r="R111" i="2" s="1"/>
  <c r="Q110" i="2"/>
  <c r="R110" i="2" s="1"/>
  <c r="P109" i="2"/>
  <c r="Q108" i="2"/>
  <c r="R108" i="2" s="1"/>
  <c r="Q107" i="2"/>
  <c r="R107" i="2" s="1"/>
  <c r="Q106" i="2"/>
  <c r="R106" i="2" s="1"/>
  <c r="Q105" i="2"/>
  <c r="R105" i="2" s="1"/>
  <c r="P104" i="2"/>
  <c r="Q102" i="2"/>
  <c r="R102" i="2" s="1"/>
  <c r="Q101" i="2"/>
  <c r="R101" i="2" s="1"/>
  <c r="Q100" i="2"/>
  <c r="R100" i="2" s="1"/>
  <c r="Q99" i="2"/>
  <c r="R99" i="2" s="1"/>
  <c r="Q98" i="2"/>
  <c r="R98" i="2" s="1"/>
  <c r="Q95" i="2"/>
  <c r="R95" i="2" s="1"/>
  <c r="Q94" i="2"/>
  <c r="R94" i="2" s="1"/>
  <c r="Q93" i="2"/>
  <c r="R93" i="2" s="1"/>
  <c r="Q92" i="2"/>
  <c r="R92" i="2" s="1"/>
  <c r="Q91" i="2"/>
  <c r="R91" i="2" s="1"/>
  <c r="P90" i="2"/>
  <c r="Q89" i="2"/>
  <c r="R89" i="2" s="1"/>
  <c r="Q88" i="2"/>
  <c r="R88" i="2" s="1"/>
  <c r="Q87" i="2"/>
  <c r="R87" i="2" s="1"/>
  <c r="Q86" i="2"/>
  <c r="R86" i="2" s="1"/>
  <c r="Q85" i="2"/>
  <c r="R85" i="2" s="1"/>
  <c r="Q84" i="2"/>
  <c r="R84" i="2" s="1"/>
  <c r="Q83" i="2"/>
  <c r="R83" i="2" s="1"/>
  <c r="P82" i="2"/>
  <c r="Q81" i="2"/>
  <c r="R81" i="2" s="1"/>
  <c r="Q80" i="2"/>
  <c r="R80" i="2" s="1"/>
  <c r="Q79" i="2"/>
  <c r="R79" i="2" s="1"/>
  <c r="Q78" i="2"/>
  <c r="R78" i="2" s="1"/>
  <c r="Q77" i="2"/>
  <c r="R77" i="2" s="1"/>
  <c r="Q76" i="2"/>
  <c r="R76" i="2" s="1"/>
  <c r="Q75" i="2"/>
  <c r="R75" i="2" s="1"/>
  <c r="P74" i="2"/>
  <c r="Q73" i="2"/>
  <c r="R73" i="2" s="1"/>
  <c r="Q72" i="2"/>
  <c r="R72" i="2" s="1"/>
  <c r="Q71" i="2"/>
  <c r="R71" i="2" s="1"/>
  <c r="Q70" i="2"/>
  <c r="R70" i="2" s="1"/>
  <c r="Q69" i="2"/>
  <c r="R69" i="2" s="1"/>
  <c r="P68" i="2"/>
  <c r="Q67" i="2"/>
  <c r="R67" i="2" s="1"/>
  <c r="Q57" i="2"/>
  <c r="R57" i="2" s="1"/>
  <c r="Q56" i="2"/>
  <c r="R56" i="2" s="1"/>
  <c r="Q55" i="2"/>
  <c r="R55" i="2" s="1"/>
  <c r="Q54" i="2"/>
  <c r="R54" i="2" s="1"/>
  <c r="Q53" i="2"/>
  <c r="R53" i="2" s="1"/>
  <c r="P52" i="2"/>
  <c r="P50" i="2" s="1"/>
  <c r="Q51" i="2"/>
  <c r="R51" i="2" s="1"/>
  <c r="Q49" i="2"/>
  <c r="R49" i="2" s="1"/>
  <c r="Q48" i="2"/>
  <c r="R48" i="2" s="1"/>
  <c r="Q47" i="2"/>
  <c r="R47" i="2" s="1"/>
  <c r="Q46" i="2"/>
  <c r="R46" i="2" s="1"/>
  <c r="Q45" i="2"/>
  <c r="R45" i="2" s="1"/>
  <c r="Q44" i="2"/>
  <c r="R44" i="2" s="1"/>
  <c r="Q43" i="2"/>
  <c r="R43" i="2" s="1"/>
  <c r="Q42" i="2"/>
  <c r="R42" i="2" s="1"/>
  <c r="Q41" i="2"/>
  <c r="R41" i="2" s="1"/>
  <c r="Q40" i="2"/>
  <c r="R40" i="2" s="1"/>
  <c r="P39" i="2"/>
  <c r="Q38" i="2"/>
  <c r="R38" i="2" s="1"/>
  <c r="Q36" i="2"/>
  <c r="R36" i="2" s="1"/>
  <c r="P35" i="2"/>
  <c r="Q31" i="2"/>
  <c r="R31" i="2" s="1"/>
  <c r="Q30" i="2"/>
  <c r="R30" i="2" s="1"/>
  <c r="Q29" i="2"/>
  <c r="R29" i="2" s="1"/>
  <c r="Q28" i="2"/>
  <c r="R28" i="2" s="1"/>
  <c r="Q27" i="2"/>
  <c r="R27" i="2" s="1"/>
  <c r="Q26" i="2"/>
  <c r="R26" i="2" s="1"/>
  <c r="Q24" i="2"/>
  <c r="R24" i="2" s="1"/>
  <c r="Q23" i="2"/>
  <c r="R23" i="2" s="1"/>
  <c r="P22" i="2"/>
  <c r="Q21" i="2"/>
  <c r="R21" i="2" s="1"/>
  <c r="Q20" i="2"/>
  <c r="R20" i="2" s="1"/>
  <c r="P19" i="2"/>
  <c r="Q18" i="2"/>
  <c r="R18" i="2" s="1"/>
  <c r="Q17" i="2"/>
  <c r="R17" i="2" s="1"/>
  <c r="P16" i="2"/>
  <c r="Q15" i="2"/>
  <c r="R15" i="2" s="1"/>
  <c r="Q14" i="2"/>
  <c r="R14" i="2" s="1"/>
  <c r="P13" i="2"/>
  <c r="Q12" i="2"/>
  <c r="R12" i="2" s="1"/>
  <c r="Q11" i="2"/>
  <c r="R11" i="2" s="1"/>
  <c r="P10" i="2"/>
  <c r="Q9" i="2"/>
  <c r="R9" i="2" s="1"/>
  <c r="Q8" i="2"/>
  <c r="R8" i="2" s="1"/>
  <c r="Q7" i="2"/>
  <c r="R7" i="2" s="1"/>
  <c r="Q6" i="2"/>
  <c r="R6" i="2" s="1"/>
  <c r="P5" i="2"/>
  <c r="L171" i="2"/>
  <c r="M171" i="2" s="1"/>
  <c r="L170" i="2"/>
  <c r="M170" i="2" s="1"/>
  <c r="L169" i="2"/>
  <c r="M169" i="2" s="1"/>
  <c r="L168" i="2"/>
  <c r="M168" i="2" s="1"/>
  <c r="L167" i="2"/>
  <c r="M167" i="2" s="1"/>
  <c r="L166" i="2"/>
  <c r="M166" i="2" s="1"/>
  <c r="L165" i="2"/>
  <c r="M165" i="2" s="1"/>
  <c r="L162" i="2"/>
  <c r="M162" i="2" s="1"/>
  <c r="L161" i="2"/>
  <c r="M161" i="2" s="1"/>
  <c r="L160" i="2"/>
  <c r="M160" i="2" s="1"/>
  <c r="L159" i="2"/>
  <c r="M159" i="2" s="1"/>
  <c r="L158" i="2"/>
  <c r="M158" i="2" s="1"/>
  <c r="L157" i="2"/>
  <c r="M157" i="2" s="1"/>
  <c r="L156" i="2"/>
  <c r="M156" i="2" s="1"/>
  <c r="L155" i="2"/>
  <c r="M155" i="2" s="1"/>
  <c r="L152" i="2"/>
  <c r="M152" i="2" s="1"/>
  <c r="L151" i="2"/>
  <c r="M151" i="2" s="1"/>
  <c r="L150" i="2"/>
  <c r="M150" i="2" s="1"/>
  <c r="L149" i="2"/>
  <c r="M149" i="2" s="1"/>
  <c r="L147" i="2"/>
  <c r="M147" i="2" s="1"/>
  <c r="L138" i="2"/>
  <c r="M138" i="2" s="1"/>
  <c r="L137" i="2"/>
  <c r="M137" i="2" s="1"/>
  <c r="L136" i="2"/>
  <c r="M136" i="2" s="1"/>
  <c r="L135" i="2"/>
  <c r="M135" i="2" s="1"/>
  <c r="L134" i="2"/>
  <c r="M134" i="2" s="1"/>
  <c r="L133" i="2"/>
  <c r="M133" i="2" s="1"/>
  <c r="L132" i="2"/>
  <c r="M132" i="2" s="1"/>
  <c r="L131" i="2"/>
  <c r="M131" i="2" s="1"/>
  <c r="L128" i="2"/>
  <c r="M128" i="2" s="1"/>
  <c r="L127" i="2"/>
  <c r="M127" i="2" s="1"/>
  <c r="L126" i="2"/>
  <c r="M126" i="2" s="1"/>
  <c r="L125" i="2"/>
  <c r="M125" i="2" s="1"/>
  <c r="L124" i="2"/>
  <c r="M124" i="2" s="1"/>
  <c r="L123" i="2"/>
  <c r="M123" i="2" s="1"/>
  <c r="L122" i="2"/>
  <c r="M122" i="2" s="1"/>
  <c r="L121" i="2"/>
  <c r="M121" i="2" s="1"/>
  <c r="L120" i="2"/>
  <c r="M120" i="2" s="1"/>
  <c r="L118" i="2"/>
  <c r="M118" i="2" s="1"/>
  <c r="L117" i="2"/>
  <c r="M117" i="2" s="1"/>
  <c r="L116" i="2"/>
  <c r="M116" i="2" s="1"/>
  <c r="L115" i="2"/>
  <c r="M115" i="2" s="1"/>
  <c r="L113" i="2"/>
  <c r="M113" i="2" s="1"/>
  <c r="L112" i="2"/>
  <c r="M112" i="2" s="1"/>
  <c r="L111" i="2"/>
  <c r="M111" i="2" s="1"/>
  <c r="L110" i="2"/>
  <c r="M110" i="2" s="1"/>
  <c r="L108" i="2"/>
  <c r="M108" i="2" s="1"/>
  <c r="L107" i="2"/>
  <c r="M107" i="2" s="1"/>
  <c r="L106" i="2"/>
  <c r="M106" i="2" s="1"/>
  <c r="L105" i="2"/>
  <c r="M105" i="2" s="1"/>
  <c r="L102" i="2"/>
  <c r="M102" i="2" s="1"/>
  <c r="L101" i="2"/>
  <c r="M101" i="2" s="1"/>
  <c r="L100" i="2"/>
  <c r="M100" i="2" s="1"/>
  <c r="L99" i="2"/>
  <c r="M99" i="2" s="1"/>
  <c r="L98" i="2"/>
  <c r="M98" i="2" s="1"/>
  <c r="L95" i="2"/>
  <c r="M95" i="2" s="1"/>
  <c r="L94" i="2"/>
  <c r="M94" i="2" s="1"/>
  <c r="L93" i="2"/>
  <c r="M93" i="2" s="1"/>
  <c r="L92" i="2"/>
  <c r="M92" i="2" s="1"/>
  <c r="L91" i="2"/>
  <c r="M91" i="2" s="1"/>
  <c r="L89" i="2"/>
  <c r="M89" i="2" s="1"/>
  <c r="L88" i="2"/>
  <c r="M88" i="2" s="1"/>
  <c r="L87" i="2"/>
  <c r="M87" i="2" s="1"/>
  <c r="L86" i="2"/>
  <c r="M86" i="2" s="1"/>
  <c r="L85" i="2"/>
  <c r="M85" i="2" s="1"/>
  <c r="L84" i="2"/>
  <c r="M84" i="2" s="1"/>
  <c r="L83" i="2"/>
  <c r="M83" i="2" s="1"/>
  <c r="L81" i="2"/>
  <c r="M81" i="2" s="1"/>
  <c r="L80" i="2"/>
  <c r="M80" i="2" s="1"/>
  <c r="L79" i="2"/>
  <c r="M79" i="2" s="1"/>
  <c r="L78" i="2"/>
  <c r="M78" i="2" s="1"/>
  <c r="L77" i="2"/>
  <c r="M77" i="2" s="1"/>
  <c r="L76" i="2"/>
  <c r="M76" i="2" s="1"/>
  <c r="L75" i="2"/>
  <c r="M75" i="2" s="1"/>
  <c r="L73" i="2"/>
  <c r="M73" i="2" s="1"/>
  <c r="L72" i="2"/>
  <c r="M72" i="2" s="1"/>
  <c r="L71" i="2"/>
  <c r="M71" i="2" s="1"/>
  <c r="L70" i="2"/>
  <c r="M70" i="2" s="1"/>
  <c r="L69" i="2"/>
  <c r="M69" i="2" s="1"/>
  <c r="L67" i="2"/>
  <c r="M67" i="2" s="1"/>
  <c r="L57" i="2"/>
  <c r="M57" i="2" s="1"/>
  <c r="L56" i="2"/>
  <c r="M56" i="2" s="1"/>
  <c r="L55" i="2"/>
  <c r="M55" i="2" s="1"/>
  <c r="L54" i="2"/>
  <c r="M54" i="2" s="1"/>
  <c r="L53" i="2"/>
  <c r="M53" i="2" s="1"/>
  <c r="L51" i="2"/>
  <c r="M51" i="2" s="1"/>
  <c r="L49" i="2"/>
  <c r="M49" i="2" s="1"/>
  <c r="L48" i="2"/>
  <c r="M48" i="2" s="1"/>
  <c r="L47" i="2"/>
  <c r="M47" i="2" s="1"/>
  <c r="L46" i="2"/>
  <c r="M46" i="2" s="1"/>
  <c r="L45" i="2"/>
  <c r="M45" i="2" s="1"/>
  <c r="L44" i="2"/>
  <c r="M44" i="2" s="1"/>
  <c r="L43" i="2"/>
  <c r="M43" i="2" s="1"/>
  <c r="L42" i="2"/>
  <c r="M42" i="2" s="1"/>
  <c r="L41" i="2"/>
  <c r="M41" i="2" s="1"/>
  <c r="L40" i="2"/>
  <c r="M40" i="2" s="1"/>
  <c r="L38" i="2"/>
  <c r="M38" i="2" s="1"/>
  <c r="L36" i="2"/>
  <c r="M36" i="2" s="1"/>
  <c r="L31" i="2"/>
  <c r="M31" i="2" s="1"/>
  <c r="L30" i="2"/>
  <c r="M30" i="2" s="1"/>
  <c r="L29" i="2"/>
  <c r="M29" i="2" s="1"/>
  <c r="L28" i="2"/>
  <c r="M28" i="2" s="1"/>
  <c r="L27" i="2"/>
  <c r="M27" i="2" s="1"/>
  <c r="L26" i="2"/>
  <c r="M26" i="2" s="1"/>
  <c r="L24" i="2"/>
  <c r="M24" i="2" s="1"/>
  <c r="L23" i="2"/>
  <c r="M23" i="2" s="1"/>
  <c r="L21" i="2"/>
  <c r="M21" i="2" s="1"/>
  <c r="L20" i="2"/>
  <c r="M20" i="2" s="1"/>
  <c r="L18" i="2"/>
  <c r="M18" i="2" s="1"/>
  <c r="L17" i="2"/>
  <c r="M17" i="2" s="1"/>
  <c r="L15" i="2"/>
  <c r="M15" i="2" s="1"/>
  <c r="L14" i="2"/>
  <c r="M14" i="2" s="1"/>
  <c r="L12" i="2"/>
  <c r="M12" i="2" s="1"/>
  <c r="L11" i="2"/>
  <c r="M11" i="2" s="1"/>
  <c r="L9" i="2"/>
  <c r="M9" i="2" s="1"/>
  <c r="L8" i="2"/>
  <c r="M8" i="2" s="1"/>
  <c r="L7" i="2"/>
  <c r="M7" i="2" s="1"/>
  <c r="L6" i="2"/>
  <c r="M6" i="2" s="1"/>
  <c r="Q40" i="5" l="1"/>
  <c r="R40" i="5" s="1"/>
  <c r="K44" i="5"/>
  <c r="L21" i="5"/>
  <c r="M21" i="5" s="1"/>
  <c r="L5" i="5"/>
  <c r="M5" i="5" s="1"/>
  <c r="O34" i="5"/>
  <c r="T44" i="5"/>
  <c r="U44" i="5"/>
  <c r="R72" i="10"/>
  <c r="L3" i="5"/>
  <c r="M3" i="5" s="1"/>
  <c r="O19" i="5"/>
  <c r="Q16" i="5"/>
  <c r="R16" i="5" s="1"/>
  <c r="P44" i="5"/>
  <c r="V16" i="5"/>
  <c r="W16" i="5" s="1"/>
  <c r="O44" i="5"/>
  <c r="L27" i="5"/>
  <c r="M27" i="5" s="1"/>
  <c r="L6" i="5"/>
  <c r="M6" i="5" s="1"/>
  <c r="J19" i="5"/>
  <c r="Q29" i="5"/>
  <c r="R29" i="5" s="1"/>
  <c r="V21" i="5"/>
  <c r="W21" i="5" s="1"/>
  <c r="K19" i="5"/>
  <c r="J44" i="5"/>
  <c r="V27" i="5"/>
  <c r="W27" i="5" s="1"/>
  <c r="L36" i="5"/>
  <c r="M36" i="5" s="1"/>
  <c r="T19" i="5"/>
  <c r="Q21" i="5"/>
  <c r="R21" i="5" s="1"/>
  <c r="T34" i="5"/>
  <c r="V40" i="5"/>
  <c r="W40" i="5" s="1"/>
  <c r="V32" i="10"/>
  <c r="W32" i="10" s="1"/>
  <c r="V66" i="10"/>
  <c r="W66" i="10" s="1"/>
  <c r="V54" i="10"/>
  <c r="W54" i="10" s="1"/>
  <c r="L66" i="10"/>
  <c r="M66" i="10" s="1"/>
  <c r="K72" i="10"/>
  <c r="W72" i="10"/>
  <c r="V8" i="10"/>
  <c r="W8" i="10" s="1"/>
  <c r="W60" i="10"/>
  <c r="Q54" i="10"/>
  <c r="R54" i="10" s="1"/>
  <c r="U12" i="10"/>
  <c r="L54" i="10"/>
  <c r="M54" i="10" s="1"/>
  <c r="M60" i="10"/>
  <c r="Q66" i="10"/>
  <c r="R66" i="10" s="1"/>
  <c r="Q148" i="2"/>
  <c r="R148" i="2" s="1"/>
  <c r="Q164" i="2"/>
  <c r="R164" i="2" s="1"/>
  <c r="U103" i="2"/>
  <c r="L5" i="2"/>
  <c r="M5" i="2" s="1"/>
  <c r="U59" i="2"/>
  <c r="V63" i="2"/>
  <c r="W63" i="2" s="1"/>
  <c r="Q104" i="2"/>
  <c r="R104" i="2" s="1"/>
  <c r="V13" i="2"/>
  <c r="W13" i="2" s="1"/>
  <c r="V19" i="2"/>
  <c r="W19" i="2" s="1"/>
  <c r="V154" i="2"/>
  <c r="W154" i="2" s="1"/>
  <c r="P146" i="2"/>
  <c r="Q146" i="2" s="1"/>
  <c r="R146" i="2" s="1"/>
  <c r="V50" i="2"/>
  <c r="W50" i="2" s="1"/>
  <c r="V109" i="2"/>
  <c r="W109" i="2" s="1"/>
  <c r="Q10" i="2"/>
  <c r="R10" i="2" s="1"/>
  <c r="Q129" i="2"/>
  <c r="R129" i="2" s="1"/>
  <c r="L119" i="2"/>
  <c r="M119" i="2" s="1"/>
  <c r="Q74" i="2"/>
  <c r="R74" i="2" s="1"/>
  <c r="L10" i="2"/>
  <c r="M10" i="2" s="1"/>
  <c r="Q39" i="2"/>
  <c r="R39" i="2" s="1"/>
  <c r="U140" i="2"/>
  <c r="V5" i="10"/>
  <c r="W5" i="10" s="1"/>
  <c r="U14" i="10"/>
  <c r="V11" i="10"/>
  <c r="W11" i="10" s="1"/>
  <c r="L19" i="2"/>
  <c r="M19" i="2" s="1"/>
  <c r="L148" i="2"/>
  <c r="M148" i="2" s="1"/>
  <c r="L164" i="2"/>
  <c r="M164" i="2" s="1"/>
  <c r="V68" i="2"/>
  <c r="W68" i="2" s="1"/>
  <c r="V82" i="2"/>
  <c r="W82" i="2" s="1"/>
  <c r="V96" i="2"/>
  <c r="W96" i="2" s="1"/>
  <c r="L39" i="2"/>
  <c r="M39" i="2" s="1"/>
  <c r="L142" i="2"/>
  <c r="M142" i="2" s="1"/>
  <c r="Q119" i="2"/>
  <c r="R119" i="2" s="1"/>
  <c r="Q141" i="2"/>
  <c r="R141" i="2" s="1"/>
  <c r="L22" i="2"/>
  <c r="M22" i="2" s="1"/>
  <c r="L16" i="2"/>
  <c r="M16" i="2" s="1"/>
  <c r="P59" i="2"/>
  <c r="Q114" i="2"/>
  <c r="R114" i="2" s="1"/>
  <c r="U4" i="2"/>
  <c r="U3" i="2" s="1"/>
  <c r="U163" i="2" s="1"/>
  <c r="Q109" i="2"/>
  <c r="R109" i="2" s="1"/>
  <c r="V148" i="2"/>
  <c r="W148" i="2" s="1"/>
  <c r="L109" i="2"/>
  <c r="M109" i="2" s="1"/>
  <c r="Q13" i="2"/>
  <c r="R13" i="2" s="1"/>
  <c r="Q50" i="2"/>
  <c r="R50" i="2" s="1"/>
  <c r="Q142" i="2"/>
  <c r="R142" i="2" s="1"/>
  <c r="V114" i="2"/>
  <c r="W114" i="2" s="1"/>
  <c r="V142" i="2"/>
  <c r="W142" i="2" s="1"/>
  <c r="Q19" i="2"/>
  <c r="R19" i="2" s="1"/>
  <c r="U34" i="2"/>
  <c r="U33" i="2" s="1"/>
  <c r="V33" i="2" s="1"/>
  <c r="M141" i="2"/>
  <c r="L50" i="2"/>
  <c r="M50" i="2" s="1"/>
  <c r="L74" i="2"/>
  <c r="M74" i="2" s="1"/>
  <c r="L146" i="2"/>
  <c r="M146" i="2" s="1"/>
  <c r="Q82" i="2"/>
  <c r="R82" i="2" s="1"/>
  <c r="V74" i="2"/>
  <c r="W74" i="2" s="1"/>
  <c r="L129" i="2"/>
  <c r="M129" i="2" s="1"/>
  <c r="L154" i="2"/>
  <c r="M154" i="2" s="1"/>
  <c r="Q16" i="2"/>
  <c r="R16" i="2" s="1"/>
  <c r="Q90" i="2"/>
  <c r="R90" i="2" s="1"/>
  <c r="Q143" i="2"/>
  <c r="R143" i="2" s="1"/>
  <c r="Q154" i="2"/>
  <c r="R154" i="2" s="1"/>
  <c r="V39" i="2"/>
  <c r="W39" i="2" s="1"/>
  <c r="U66" i="2"/>
  <c r="V143" i="2"/>
  <c r="W143" i="2" s="1"/>
  <c r="V164" i="2"/>
  <c r="W164" i="2" s="1"/>
  <c r="L130" i="2"/>
  <c r="M130" i="2" s="1"/>
  <c r="Q22" i="2"/>
  <c r="R22" i="2" s="1"/>
  <c r="V10" i="2"/>
  <c r="W10" i="2" s="1"/>
  <c r="V16" i="2"/>
  <c r="W16" i="2" s="1"/>
  <c r="V22" i="2"/>
  <c r="W22" i="2" s="1"/>
  <c r="V119" i="2"/>
  <c r="W119" i="2" s="1"/>
  <c r="L13" i="2"/>
  <c r="M13" i="2" s="1"/>
  <c r="L104" i="2"/>
  <c r="M104" i="2" s="1"/>
  <c r="L90" i="2"/>
  <c r="M90" i="2" s="1"/>
  <c r="L114" i="2"/>
  <c r="M114" i="2" s="1"/>
  <c r="L82" i="2"/>
  <c r="M82" i="2" s="1"/>
  <c r="P103" i="2"/>
  <c r="P34" i="2"/>
  <c r="P33" i="2" s="1"/>
  <c r="P140" i="2"/>
  <c r="L52" i="2"/>
  <c r="M52" i="2" s="1"/>
  <c r="Q35" i="2"/>
  <c r="R35" i="2" s="1"/>
  <c r="P66" i="2"/>
  <c r="V35" i="2"/>
  <c r="W35" i="2" s="1"/>
  <c r="V90" i="2"/>
  <c r="W90" i="2" s="1"/>
  <c r="V130" i="2"/>
  <c r="W130" i="2" s="1"/>
  <c r="P60" i="10"/>
  <c r="R60" i="10" s="1"/>
  <c r="M72" i="10"/>
  <c r="U19" i="5"/>
  <c r="V5" i="5"/>
  <c r="W5" i="5" s="1"/>
  <c r="V29" i="5"/>
  <c r="W29" i="5" s="1"/>
  <c r="V3" i="5"/>
  <c r="W3" i="5" s="1"/>
  <c r="V6" i="5"/>
  <c r="W6" i="5" s="1"/>
  <c r="V36" i="5"/>
  <c r="W36" i="5" s="1"/>
  <c r="U34" i="5"/>
  <c r="P19" i="5"/>
  <c r="Q5" i="5"/>
  <c r="R5" i="5" s="1"/>
  <c r="Q3" i="5"/>
  <c r="R3" i="5" s="1"/>
  <c r="Q6" i="5"/>
  <c r="R6" i="5" s="1"/>
  <c r="P27" i="5"/>
  <c r="Q27" i="5" s="1"/>
  <c r="R27" i="5" s="1"/>
  <c r="Q36" i="5"/>
  <c r="R36" i="5" s="1"/>
  <c r="L16" i="5"/>
  <c r="M16" i="5" s="1"/>
  <c r="L29" i="5"/>
  <c r="M29" i="5" s="1"/>
  <c r="L40" i="5"/>
  <c r="M40" i="5" s="1"/>
  <c r="V129" i="2"/>
  <c r="W129" i="2" s="1"/>
  <c r="V146" i="2"/>
  <c r="W146" i="2" s="1"/>
  <c r="V5" i="2"/>
  <c r="W5" i="2" s="1"/>
  <c r="V60" i="2"/>
  <c r="W60" i="2" s="1"/>
  <c r="V104" i="2"/>
  <c r="W104" i="2" s="1"/>
  <c r="V141" i="2"/>
  <c r="W141" i="2" s="1"/>
  <c r="V52" i="2"/>
  <c r="W52" i="2" s="1"/>
  <c r="Q68" i="2"/>
  <c r="R68" i="2" s="1"/>
  <c r="Q130" i="2"/>
  <c r="R130" i="2" s="1"/>
  <c r="Q5" i="2"/>
  <c r="R5" i="2" s="1"/>
  <c r="Q52" i="2"/>
  <c r="R52" i="2" s="1"/>
  <c r="L68" i="2"/>
  <c r="M68" i="2" s="1"/>
  <c r="L35" i="2"/>
  <c r="M35" i="2" s="1"/>
  <c r="M143" i="2"/>
  <c r="C29" i="5"/>
  <c r="C27" i="5" s="1"/>
  <c r="C6" i="5"/>
  <c r="C16" i="5"/>
  <c r="V34" i="5" l="1"/>
  <c r="W34" i="5" s="1"/>
  <c r="O47" i="5"/>
  <c r="L44" i="5"/>
  <c r="M44" i="5" s="1"/>
  <c r="Q19" i="5"/>
  <c r="R19" i="5" s="1"/>
  <c r="V44" i="5"/>
  <c r="W44" i="5" s="1"/>
  <c r="L19" i="5"/>
  <c r="M19" i="5" s="1"/>
  <c r="V19" i="5"/>
  <c r="W19" i="5" s="1"/>
  <c r="Q44" i="5"/>
  <c r="R44" i="5" s="1"/>
  <c r="L34" i="5"/>
  <c r="M34" i="5" s="1"/>
  <c r="P34" i="5"/>
  <c r="Q34" i="5" s="1"/>
  <c r="R34" i="5" s="1"/>
  <c r="V14" i="10"/>
  <c r="W14" i="10" s="1"/>
  <c r="L58" i="2"/>
  <c r="M58" i="2" s="1"/>
  <c r="V12" i="10"/>
  <c r="W12" i="10" s="1"/>
  <c r="U58" i="2"/>
  <c r="V58" i="2" s="1"/>
  <c r="P58" i="2"/>
  <c r="Q58" i="2" s="1"/>
  <c r="R58" i="2" s="1"/>
  <c r="L34" i="2"/>
  <c r="M34" i="2" s="1"/>
  <c r="V103" i="2"/>
  <c r="W103" i="2" s="1"/>
  <c r="L59" i="2"/>
  <c r="M59" i="2" s="1"/>
  <c r="L4" i="2"/>
  <c r="M4" i="2" s="1"/>
  <c r="Q59" i="2"/>
  <c r="R59" i="2" s="1"/>
  <c r="P163" i="2"/>
  <c r="Q163" i="2" s="1"/>
  <c r="R163" i="2" s="1"/>
  <c r="V4" i="2"/>
  <c r="W4" i="2" s="1"/>
  <c r="Q34" i="2"/>
  <c r="R34" i="2" s="1"/>
  <c r="V3" i="2"/>
  <c r="W3" i="2" s="1"/>
  <c r="V140" i="2"/>
  <c r="W140" i="2" s="1"/>
  <c r="L3" i="2"/>
  <c r="M3" i="2" s="1"/>
  <c r="L33" i="2"/>
  <c r="M33" i="2" s="1"/>
  <c r="V59" i="2"/>
  <c r="W59" i="2" s="1"/>
  <c r="V34" i="2"/>
  <c r="W34" i="2" s="1"/>
  <c r="V66" i="2"/>
  <c r="W66" i="2" s="1"/>
  <c r="Q66" i="2"/>
  <c r="R66" i="2" s="1"/>
  <c r="L66" i="2"/>
  <c r="M66" i="2" s="1"/>
  <c r="Q140" i="2"/>
  <c r="R140" i="2" s="1"/>
  <c r="L140" i="2"/>
  <c r="M140" i="2" s="1"/>
  <c r="Q3" i="2"/>
  <c r="R3" i="2" s="1"/>
  <c r="L103" i="2"/>
  <c r="M103" i="2" s="1"/>
  <c r="Q4" i="2"/>
  <c r="R4" i="2" s="1"/>
  <c r="Q103" i="2"/>
  <c r="R103" i="2" s="1"/>
  <c r="U47" i="5"/>
  <c r="K47" i="5"/>
  <c r="W33" i="2"/>
  <c r="V163" i="2"/>
  <c r="W163" i="2" s="1"/>
  <c r="Q33" i="2"/>
  <c r="R33" i="2" s="1"/>
  <c r="L163" i="2"/>
  <c r="M163" i="2" s="1"/>
  <c r="P47" i="5" l="1"/>
  <c r="Q47" i="5" s="1"/>
  <c r="R47" i="5" s="1"/>
  <c r="L47" i="5"/>
  <c r="M47" i="5" s="1"/>
  <c r="V47" i="5"/>
  <c r="W47" i="5" s="1"/>
  <c r="U32" i="2"/>
  <c r="U144" i="2" s="1"/>
  <c r="W58" i="2"/>
  <c r="L32" i="2"/>
  <c r="M32" i="2" s="1"/>
  <c r="P32" i="2"/>
  <c r="Q32" i="2" l="1"/>
  <c r="R32" i="2" s="1"/>
  <c r="P144" i="2"/>
  <c r="P145" i="2" s="1"/>
  <c r="V32" i="2"/>
  <c r="W32" i="2" s="1"/>
  <c r="V144" i="2"/>
  <c r="W144" i="2" s="1"/>
  <c r="U172" i="2"/>
  <c r="V172" i="2" s="1"/>
  <c r="W172" i="2" s="1"/>
  <c r="U145" i="2"/>
  <c r="G116" i="2"/>
  <c r="H116" i="2" s="1"/>
  <c r="G171" i="2"/>
  <c r="H171" i="2" s="1"/>
  <c r="G170" i="2"/>
  <c r="H170" i="2" s="1"/>
  <c r="G169" i="2"/>
  <c r="H169" i="2" s="1"/>
  <c r="G168" i="2"/>
  <c r="H168" i="2" s="1"/>
  <c r="G167" i="2"/>
  <c r="H167" i="2" s="1"/>
  <c r="G166" i="2"/>
  <c r="H166" i="2" s="1"/>
  <c r="G165" i="2"/>
  <c r="H165" i="2" s="1"/>
  <c r="G162" i="2"/>
  <c r="H162" i="2" s="1"/>
  <c r="G161" i="2"/>
  <c r="H161" i="2" s="1"/>
  <c r="G160" i="2"/>
  <c r="H160" i="2" s="1"/>
  <c r="G159" i="2"/>
  <c r="H159" i="2" s="1"/>
  <c r="G158" i="2"/>
  <c r="H158" i="2" s="1"/>
  <c r="G157" i="2"/>
  <c r="H157" i="2" s="1"/>
  <c r="G156" i="2"/>
  <c r="H156" i="2" s="1"/>
  <c r="G155" i="2"/>
  <c r="H155" i="2" s="1"/>
  <c r="G152" i="2"/>
  <c r="H152" i="2" s="1"/>
  <c r="G151" i="2"/>
  <c r="H151" i="2" s="1"/>
  <c r="G150" i="2"/>
  <c r="H150" i="2" s="1"/>
  <c r="G149" i="2"/>
  <c r="H149" i="2" s="1"/>
  <c r="G147" i="2"/>
  <c r="H147" i="2" s="1"/>
  <c r="G138" i="2"/>
  <c r="H138" i="2" s="1"/>
  <c r="G137" i="2"/>
  <c r="H137" i="2" s="1"/>
  <c r="G136" i="2"/>
  <c r="H136" i="2" s="1"/>
  <c r="G135" i="2"/>
  <c r="H135" i="2" s="1"/>
  <c r="G134" i="2"/>
  <c r="H134" i="2" s="1"/>
  <c r="G133" i="2"/>
  <c r="H133" i="2" s="1"/>
  <c r="G132" i="2"/>
  <c r="H132" i="2" s="1"/>
  <c r="G131" i="2"/>
  <c r="H131" i="2" s="1"/>
  <c r="G128" i="2"/>
  <c r="H128" i="2" s="1"/>
  <c r="G127" i="2"/>
  <c r="H127" i="2" s="1"/>
  <c r="G126" i="2"/>
  <c r="H126" i="2" s="1"/>
  <c r="G125" i="2"/>
  <c r="H125" i="2" s="1"/>
  <c r="G124" i="2"/>
  <c r="H124" i="2" s="1"/>
  <c r="G123" i="2"/>
  <c r="H123" i="2" s="1"/>
  <c r="G122" i="2"/>
  <c r="H122" i="2" s="1"/>
  <c r="G121" i="2"/>
  <c r="H121" i="2" s="1"/>
  <c r="G120" i="2"/>
  <c r="H120" i="2" s="1"/>
  <c r="G118" i="2"/>
  <c r="H118" i="2" s="1"/>
  <c r="G113" i="2"/>
  <c r="H113" i="2" s="1"/>
  <c r="G112" i="2"/>
  <c r="H112" i="2" s="1"/>
  <c r="G111" i="2"/>
  <c r="H111" i="2" s="1"/>
  <c r="G110" i="2"/>
  <c r="H110" i="2" s="1"/>
  <c r="G108" i="2"/>
  <c r="H108" i="2" s="1"/>
  <c r="G107" i="2"/>
  <c r="H107" i="2" s="1"/>
  <c r="G106" i="2"/>
  <c r="H106" i="2" s="1"/>
  <c r="G105" i="2"/>
  <c r="H105" i="2" s="1"/>
  <c r="G102" i="2"/>
  <c r="H102" i="2" s="1"/>
  <c r="G101" i="2"/>
  <c r="H101" i="2" s="1"/>
  <c r="G100" i="2"/>
  <c r="H100" i="2" s="1"/>
  <c r="G99" i="2"/>
  <c r="H99" i="2" s="1"/>
  <c r="G98" i="2"/>
  <c r="H98" i="2" s="1"/>
  <c r="G95" i="2"/>
  <c r="H95" i="2" s="1"/>
  <c r="G94" i="2"/>
  <c r="H94" i="2" s="1"/>
  <c r="G93" i="2"/>
  <c r="H93" i="2" s="1"/>
  <c r="G92" i="2"/>
  <c r="H92" i="2" s="1"/>
  <c r="G91" i="2"/>
  <c r="H91" i="2" s="1"/>
  <c r="G89" i="2"/>
  <c r="H89" i="2" s="1"/>
  <c r="G88" i="2"/>
  <c r="H88" i="2" s="1"/>
  <c r="G87" i="2"/>
  <c r="H87" i="2" s="1"/>
  <c r="G86" i="2"/>
  <c r="H86" i="2" s="1"/>
  <c r="G85" i="2"/>
  <c r="H85" i="2" s="1"/>
  <c r="G84" i="2"/>
  <c r="H84" i="2" s="1"/>
  <c r="G83" i="2"/>
  <c r="H83" i="2" s="1"/>
  <c r="G81" i="2"/>
  <c r="H81" i="2" s="1"/>
  <c r="G80" i="2"/>
  <c r="H80" i="2" s="1"/>
  <c r="G79" i="2"/>
  <c r="H79" i="2" s="1"/>
  <c r="G78" i="2"/>
  <c r="H78" i="2" s="1"/>
  <c r="G77" i="2"/>
  <c r="H77" i="2" s="1"/>
  <c r="G76" i="2"/>
  <c r="H76" i="2" s="1"/>
  <c r="G75" i="2"/>
  <c r="H75" i="2" s="1"/>
  <c r="G73" i="2"/>
  <c r="H73" i="2" s="1"/>
  <c r="G72" i="2"/>
  <c r="H72" i="2" s="1"/>
  <c r="G71" i="2"/>
  <c r="H71" i="2" s="1"/>
  <c r="G70" i="2"/>
  <c r="H70" i="2" s="1"/>
  <c r="G69" i="2"/>
  <c r="H69" i="2" s="1"/>
  <c r="G67" i="2"/>
  <c r="H67" i="2" s="1"/>
  <c r="G57" i="2"/>
  <c r="H57" i="2" s="1"/>
  <c r="G56" i="2"/>
  <c r="H56" i="2" s="1"/>
  <c r="G55" i="2"/>
  <c r="H55" i="2" s="1"/>
  <c r="G54" i="2"/>
  <c r="H54" i="2" s="1"/>
  <c r="G53" i="2"/>
  <c r="H53" i="2" s="1"/>
  <c r="G51" i="2"/>
  <c r="H51" i="2" s="1"/>
  <c r="G49" i="2"/>
  <c r="H49" i="2" s="1"/>
  <c r="G48" i="2"/>
  <c r="H48" i="2" s="1"/>
  <c r="G47" i="2"/>
  <c r="H47" i="2" s="1"/>
  <c r="G46" i="2"/>
  <c r="H46" i="2" s="1"/>
  <c r="G45" i="2"/>
  <c r="H45" i="2" s="1"/>
  <c r="G44" i="2"/>
  <c r="H44" i="2" s="1"/>
  <c r="G43" i="2"/>
  <c r="H43" i="2" s="1"/>
  <c r="G42" i="2"/>
  <c r="H42" i="2" s="1"/>
  <c r="G41" i="2"/>
  <c r="H41" i="2" s="1"/>
  <c r="G40" i="2"/>
  <c r="H40" i="2" s="1"/>
  <c r="G38" i="2"/>
  <c r="H38" i="2" s="1"/>
  <c r="G36" i="2"/>
  <c r="H36" i="2" s="1"/>
  <c r="G31" i="2"/>
  <c r="H31" i="2" s="1"/>
  <c r="G30" i="2"/>
  <c r="H30" i="2" s="1"/>
  <c r="G29" i="2"/>
  <c r="H29" i="2" s="1"/>
  <c r="G28" i="2"/>
  <c r="H28" i="2" s="1"/>
  <c r="G27" i="2"/>
  <c r="H27" i="2" s="1"/>
  <c r="G26" i="2"/>
  <c r="H26" i="2" s="1"/>
  <c r="G24" i="2"/>
  <c r="H24" i="2" s="1"/>
  <c r="G23" i="2"/>
  <c r="H23" i="2" s="1"/>
  <c r="G21" i="2"/>
  <c r="H21" i="2" s="1"/>
  <c r="G20" i="2"/>
  <c r="H20" i="2" s="1"/>
  <c r="G18" i="2"/>
  <c r="H18" i="2" s="1"/>
  <c r="G17" i="2"/>
  <c r="H17" i="2" s="1"/>
  <c r="G15" i="2"/>
  <c r="H15" i="2" s="1"/>
  <c r="G14" i="2"/>
  <c r="H14" i="2" s="1"/>
  <c r="G12" i="2"/>
  <c r="H12" i="2" s="1"/>
  <c r="G11" i="2"/>
  <c r="H11" i="2" s="1"/>
  <c r="G9" i="2"/>
  <c r="H9" i="2" s="1"/>
  <c r="G8" i="2"/>
  <c r="H8" i="2" s="1"/>
  <c r="G7" i="2"/>
  <c r="H7" i="2" s="1"/>
  <c r="G89" i="10"/>
  <c r="H89" i="10" s="1"/>
  <c r="G88" i="10"/>
  <c r="H88" i="10" s="1"/>
  <c r="G86" i="10"/>
  <c r="H86" i="10" s="1"/>
  <c r="G82" i="10"/>
  <c r="H82" i="10" s="1"/>
  <c r="G81" i="10"/>
  <c r="H81" i="10" s="1"/>
  <c r="G80" i="10"/>
  <c r="H80" i="10" s="1"/>
  <c r="G79" i="10"/>
  <c r="H79" i="10" s="1"/>
  <c r="G77" i="10"/>
  <c r="H77" i="10" s="1"/>
  <c r="G76" i="10"/>
  <c r="H76" i="10" s="1"/>
  <c r="G75" i="10"/>
  <c r="H75" i="10" s="1"/>
  <c r="G74" i="10"/>
  <c r="H74" i="10" s="1"/>
  <c r="G73" i="10"/>
  <c r="H73" i="10" s="1"/>
  <c r="G71" i="10"/>
  <c r="H71" i="10" s="1"/>
  <c r="G70" i="10"/>
  <c r="H70" i="10" s="1"/>
  <c r="G69" i="10"/>
  <c r="H69" i="10" s="1"/>
  <c r="G68" i="10"/>
  <c r="H68" i="10" s="1"/>
  <c r="G67" i="10"/>
  <c r="H67" i="10" s="1"/>
  <c r="G65" i="10"/>
  <c r="H65" i="10" s="1"/>
  <c r="G64" i="10"/>
  <c r="H64" i="10" s="1"/>
  <c r="G63" i="10"/>
  <c r="H63" i="10" s="1"/>
  <c r="G62" i="10"/>
  <c r="H62" i="10" s="1"/>
  <c r="G61" i="10"/>
  <c r="H61" i="10" s="1"/>
  <c r="G59" i="10"/>
  <c r="H59" i="10" s="1"/>
  <c r="G58" i="10"/>
  <c r="H58" i="10" s="1"/>
  <c r="G57" i="10"/>
  <c r="H57" i="10" s="1"/>
  <c r="G56" i="10"/>
  <c r="H56" i="10" s="1"/>
  <c r="G55" i="10"/>
  <c r="H55" i="10" s="1"/>
  <c r="G52" i="10"/>
  <c r="H52" i="10" s="1"/>
  <c r="G51" i="10"/>
  <c r="H51" i="10" s="1"/>
  <c r="G50" i="10"/>
  <c r="H50" i="10" s="1"/>
  <c r="G49" i="10"/>
  <c r="H49" i="10" s="1"/>
  <c r="G48" i="10"/>
  <c r="H48" i="10" s="1"/>
  <c r="G46" i="10"/>
  <c r="H46" i="10" s="1"/>
  <c r="G45" i="10"/>
  <c r="H45" i="10" s="1"/>
  <c r="G44" i="10"/>
  <c r="H44" i="10" s="1"/>
  <c r="G43" i="10"/>
  <c r="H43" i="10" s="1"/>
  <c r="G42" i="10"/>
  <c r="H42" i="10" s="1"/>
  <c r="F40" i="5"/>
  <c r="F21" i="5"/>
  <c r="G54" i="5"/>
  <c r="H54" i="5" s="1"/>
  <c r="G53" i="5"/>
  <c r="H53" i="5" s="1"/>
  <c r="G52" i="5"/>
  <c r="H52" i="5" s="1"/>
  <c r="G51" i="5"/>
  <c r="H51" i="5" s="1"/>
  <c r="G50" i="5"/>
  <c r="H50" i="5" s="1"/>
  <c r="G49" i="5"/>
  <c r="H49" i="5" s="1"/>
  <c r="G48" i="5"/>
  <c r="H48" i="5" s="1"/>
  <c r="G46" i="5"/>
  <c r="H46" i="5" s="1"/>
  <c r="G45" i="5"/>
  <c r="H45" i="5" s="1"/>
  <c r="G43" i="5"/>
  <c r="H43" i="5" s="1"/>
  <c r="G42" i="5"/>
  <c r="H42" i="5" s="1"/>
  <c r="G41" i="5"/>
  <c r="H41" i="5" s="1"/>
  <c r="E40" i="5"/>
  <c r="G38" i="5"/>
  <c r="H38" i="5" s="1"/>
  <c r="G37" i="5"/>
  <c r="H37" i="5" s="1"/>
  <c r="G33" i="5"/>
  <c r="H33" i="5" s="1"/>
  <c r="G28" i="5"/>
  <c r="H28" i="5" s="1"/>
  <c r="G26" i="5"/>
  <c r="H26" i="5" s="1"/>
  <c r="G25" i="5"/>
  <c r="H25" i="5" s="1"/>
  <c r="G24" i="5"/>
  <c r="H24" i="5" s="1"/>
  <c r="G23" i="5"/>
  <c r="H23" i="5" s="1"/>
  <c r="G22" i="5"/>
  <c r="H22" i="5" s="1"/>
  <c r="E21" i="5"/>
  <c r="G9" i="5"/>
  <c r="H9" i="5" s="1"/>
  <c r="G15" i="5"/>
  <c r="H15" i="5" s="1"/>
  <c r="G14" i="5"/>
  <c r="H14" i="5" s="1"/>
  <c r="G13" i="5"/>
  <c r="H13" i="5" s="1"/>
  <c r="H35" i="5"/>
  <c r="H20" i="5"/>
  <c r="C40" i="5"/>
  <c r="C21" i="5"/>
  <c r="L172" i="2" l="1"/>
  <c r="M172" i="2" s="1"/>
  <c r="G54" i="10"/>
  <c r="H54" i="10" s="1"/>
  <c r="Q144" i="2"/>
  <c r="R144" i="2" s="1"/>
  <c r="P153" i="2"/>
  <c r="L144" i="2"/>
  <c r="M144" i="2" s="1"/>
  <c r="G22" i="2"/>
  <c r="H22" i="2" s="1"/>
  <c r="P172" i="2"/>
  <c r="Q172" i="2" s="1"/>
  <c r="R172" i="2" s="1"/>
  <c r="V145" i="2"/>
  <c r="W145" i="2" s="1"/>
  <c r="U153" i="2"/>
  <c r="Q145" i="2"/>
  <c r="R145" i="2" s="1"/>
  <c r="G5" i="2"/>
  <c r="H5" i="2" s="1"/>
  <c r="G35" i="2"/>
  <c r="H35" i="2" s="1"/>
  <c r="G11" i="5"/>
  <c r="H11" i="5" s="1"/>
  <c r="G8" i="5"/>
  <c r="H8" i="5" s="1"/>
  <c r="G10" i="5"/>
  <c r="H10" i="5" s="1"/>
  <c r="G18" i="5"/>
  <c r="H18" i="5" s="1"/>
  <c r="C5" i="5"/>
  <c r="G12" i="5"/>
  <c r="H12" i="5" s="1"/>
  <c r="F19" i="5"/>
  <c r="G21" i="5"/>
  <c r="H21" i="5" s="1"/>
  <c r="G74" i="2"/>
  <c r="H74" i="2" s="1"/>
  <c r="G19" i="2"/>
  <c r="H19" i="2" s="1"/>
  <c r="G104" i="2"/>
  <c r="H104" i="2" s="1"/>
  <c r="G130" i="2"/>
  <c r="H130" i="2" s="1"/>
  <c r="G40" i="5"/>
  <c r="H40" i="5" s="1"/>
  <c r="G17" i="5"/>
  <c r="H17" i="5" s="1"/>
  <c r="E5" i="5"/>
  <c r="G66" i="10"/>
  <c r="H66" i="10" s="1"/>
  <c r="G7" i="5"/>
  <c r="H7" i="5" s="1"/>
  <c r="E16" i="5"/>
  <c r="H60" i="10"/>
  <c r="H72" i="10"/>
  <c r="G164" i="2"/>
  <c r="H164" i="2" s="1"/>
  <c r="G16" i="2"/>
  <c r="H16" i="2" s="1"/>
  <c r="G82" i="2"/>
  <c r="H82" i="2" s="1"/>
  <c r="G96" i="2"/>
  <c r="H96" i="2" s="1"/>
  <c r="G13" i="2"/>
  <c r="H13" i="2" s="1"/>
  <c r="G10" i="2"/>
  <c r="H10" i="2" s="1"/>
  <c r="G119" i="2"/>
  <c r="H119" i="2" s="1"/>
  <c r="G50" i="2"/>
  <c r="H50" i="2" s="1"/>
  <c r="G90" i="2"/>
  <c r="H90" i="2" s="1"/>
  <c r="G39" i="2"/>
  <c r="H39" i="2" s="1"/>
  <c r="G154" i="2"/>
  <c r="H154" i="2" s="1"/>
  <c r="G117" i="2"/>
  <c r="H117" i="2" s="1"/>
  <c r="G143" i="2"/>
  <c r="H143" i="2" s="1"/>
  <c r="G148" i="2"/>
  <c r="H148" i="2" s="1"/>
  <c r="G129" i="2"/>
  <c r="H129" i="2" s="1"/>
  <c r="G52" i="2"/>
  <c r="H52" i="2" s="1"/>
  <c r="G68" i="2"/>
  <c r="H68" i="2" s="1"/>
  <c r="G109" i="2"/>
  <c r="H109" i="2" s="1"/>
  <c r="G146" i="2"/>
  <c r="H146" i="2" s="1"/>
  <c r="G142" i="2"/>
  <c r="H142" i="2" s="1"/>
  <c r="G115" i="2"/>
  <c r="H115" i="2" s="1"/>
  <c r="G141" i="2"/>
  <c r="H141" i="2" s="1"/>
  <c r="E44" i="5"/>
  <c r="C44" i="5"/>
  <c r="G58" i="2" l="1"/>
  <c r="H58" i="2" s="1"/>
  <c r="G59" i="2"/>
  <c r="H59" i="2" s="1"/>
  <c r="G4" i="2"/>
  <c r="H4" i="2" s="1"/>
  <c r="L145" i="2"/>
  <c r="M145" i="2" s="1"/>
  <c r="U173" i="2"/>
  <c r="V173" i="2" s="1"/>
  <c r="W173" i="2" s="1"/>
  <c r="V153" i="2"/>
  <c r="W153" i="2" s="1"/>
  <c r="P173" i="2"/>
  <c r="Q173" i="2" s="1"/>
  <c r="R173" i="2" s="1"/>
  <c r="Q153" i="2"/>
  <c r="R153" i="2" s="1"/>
  <c r="L173" i="2"/>
  <c r="M173" i="2" s="1"/>
  <c r="L153" i="2"/>
  <c r="M153" i="2" s="1"/>
  <c r="E19" i="5"/>
  <c r="C19" i="5"/>
  <c r="G16" i="5"/>
  <c r="H16" i="5" s="1"/>
  <c r="G6" i="5"/>
  <c r="H6" i="5" s="1"/>
  <c r="G103" i="2"/>
  <c r="H103" i="2" s="1"/>
  <c r="G140" i="2"/>
  <c r="H140" i="2" s="1"/>
  <c r="G5" i="5"/>
  <c r="H5" i="5" s="1"/>
  <c r="G32" i="5"/>
  <c r="H32" i="5" s="1"/>
  <c r="G114" i="2"/>
  <c r="H114" i="2" s="1"/>
  <c r="G3" i="2"/>
  <c r="H3" i="2" s="1"/>
  <c r="G34" i="2"/>
  <c r="H34" i="2" s="1"/>
  <c r="G66" i="2"/>
  <c r="H66" i="2" s="1"/>
  <c r="G31" i="5"/>
  <c r="H31" i="5" s="1"/>
  <c r="E27" i="5"/>
  <c r="E34" i="5" s="1"/>
  <c r="G33" i="2"/>
  <c r="H33" i="2" s="1"/>
  <c r="C34" i="5"/>
  <c r="F36" i="5"/>
  <c r="G39" i="5"/>
  <c r="H39" i="5" s="1"/>
  <c r="G30" i="5"/>
  <c r="H30" i="5" s="1"/>
  <c r="G32" i="2" l="1"/>
  <c r="H32" i="2" s="1"/>
  <c r="G19" i="5"/>
  <c r="H19" i="5" s="1"/>
  <c r="C47" i="5"/>
  <c r="E47" i="5" s="1"/>
  <c r="G163" i="2"/>
  <c r="H163" i="2" s="1"/>
  <c r="F27" i="5"/>
  <c r="G29" i="5"/>
  <c r="H29" i="5" s="1"/>
  <c r="G36" i="5"/>
  <c r="H36" i="5" s="1"/>
  <c r="F44" i="5"/>
  <c r="G3" i="5" l="1"/>
  <c r="H3" i="5" s="1"/>
  <c r="G44" i="5"/>
  <c r="H44" i="5" s="1"/>
  <c r="G27" i="5"/>
  <c r="H27" i="5" s="1"/>
  <c r="F34" i="5"/>
  <c r="F47" i="5" s="1"/>
  <c r="G172" i="2" l="1"/>
  <c r="H172" i="2" s="1"/>
  <c r="G144" i="2"/>
  <c r="H144" i="2" s="1"/>
  <c r="G145" i="2"/>
  <c r="H145" i="2" s="1"/>
  <c r="G34" i="5"/>
  <c r="H34" i="5" s="1"/>
  <c r="G153" i="2" l="1"/>
  <c r="H153" i="2" s="1"/>
  <c r="G173" i="2"/>
  <c r="H173" i="2" s="1"/>
  <c r="G47" i="5"/>
  <c r="H47" i="5" s="1"/>
</calcChain>
</file>

<file path=xl/sharedStrings.xml><?xml version="1.0" encoding="utf-8"?>
<sst xmlns="http://schemas.openxmlformats.org/spreadsheetml/2006/main" count="991" uniqueCount="588">
  <si>
    <t>Kods</t>
  </si>
  <si>
    <t>A</t>
  </si>
  <si>
    <t>I   IEŅĒMUMI NO SAIMNIECISKĀS DARBĪBAS KOPĀ</t>
  </si>
  <si>
    <t>Valsts budžeta līdzekļi</t>
  </si>
  <si>
    <t>Saņemtās pacientu iemaksas (stacionāram)</t>
  </si>
  <si>
    <t>Saņemtās pacientu iemaksas (ambulatorai p.)</t>
  </si>
  <si>
    <t>Ziedojumi</t>
  </si>
  <si>
    <t>Pacienta līdzmaksājums par operāciju</t>
  </si>
  <si>
    <t>B</t>
  </si>
  <si>
    <t>1000</t>
  </si>
  <si>
    <t>ATLĪDZĪBA</t>
  </si>
  <si>
    <t>Atalgojums - kopā</t>
  </si>
  <si>
    <t>Mēneša amatalga</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</si>
  <si>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</si>
  <si>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</si>
  <si>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</si>
  <si>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</si>
  <si>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</si>
  <si>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</si>
  <si>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</si>
  <si>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</si>
  <si>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</si>
  <si>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</si>
  <si>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</si>
  <si>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</si>
  <si>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</si>
  <si>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</si>
  <si>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</si>
  <si>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</si>
  <si>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</si>
  <si>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</si>
  <si>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</si>
  <si>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</si>
  <si>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</si>
  <si>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</si>
  <si>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</si>
  <si>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</si>
  <si>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</si>
  <si>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</si>
  <si>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</si>
  <si>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</si>
  <si>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</si>
  <si>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</si>
  <si>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</si>
  <si>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</si>
  <si>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</si>
  <si>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</si>
  <si>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</si>
  <si>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</si>
  <si>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</si>
  <si>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</si>
  <si>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</si>
  <si>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</si>
  <si>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</si>
  <si>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</si>
  <si>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</si>
  <si>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</si>
  <si>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</si>
  <si>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</si>
  <si>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</si>
  <si>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</si>
  <si>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</si>
  <si>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</si>
  <si>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</si>
  <si>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</si>
  <si>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</si>
  <si>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PROCENTU IZDEVUMI</t>
  </si>
  <si>
    <t>Procentu maksājumi ārvalstu un starptautiskajām finanšu institūcijām</t>
  </si>
  <si>
    <t>Procentu maksājumi iekšzemes kredītiestādēm</t>
  </si>
  <si>
    <t>Pārējie procentu maksājumi</t>
  </si>
  <si>
    <t>C</t>
  </si>
  <si>
    <t>KOPĀ IZDEVUMI</t>
  </si>
  <si>
    <t>D</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</si>
  <si>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</si>
  <si>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</si>
  <si>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</si>
  <si>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</si>
  <si>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</si>
  <si>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</si>
  <si>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</si>
  <si>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</si>
  <si>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</si>
  <si>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</si>
  <si>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</si>
  <si>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</si>
  <si>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</si>
  <si>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</si>
  <si>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</si>
  <si>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</si>
  <si>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</si>
  <si>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</si>
  <si>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</si>
  <si>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</si>
  <si>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</si>
  <si>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</si>
  <si>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</si>
  <si>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</si>
  <si>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</si>
  <si>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</si>
  <si>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</si>
  <si>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</si>
  <si>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</si>
  <si>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</si>
  <si>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</si>
  <si>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</si>
  <si>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</si>
  <si>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</si>
  <si>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</si>
  <si>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</si>
  <si>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</si>
  <si>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</si>
  <si>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</si>
  <si>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</si>
  <si>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</si>
  <si>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</si>
  <si>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0020</t>
  </si>
  <si>
    <t>0030</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</si>
  <si>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</si>
  <si>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</si>
  <si>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</si>
  <si>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</si>
  <si>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</si>
  <si>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</si>
  <si>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</si>
  <si>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</si>
  <si>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</si>
  <si>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</si>
  <si>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</si>
  <si>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</si>
  <si>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</si>
  <si>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</si>
  <si>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</si>
  <si>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</si>
  <si>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</si>
  <si>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</si>
  <si>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</si>
  <si>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</si>
  <si>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</si>
  <si>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</si>
  <si>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</si>
  <si>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</si>
  <si>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</si>
  <si>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</si>
  <si>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</si>
  <si>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</si>
  <si>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</si>
  <si>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</si>
  <si>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</si>
  <si>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</si>
  <si>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</si>
  <si>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</si>
  <si>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</si>
  <si>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</si>
  <si>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</si>
  <si>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</si>
  <si>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</si>
  <si>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</si>
  <si>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</si>
  <si>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</si>
  <si>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</si>
  <si>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</si>
  <si>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</si>
  <si>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</si>
  <si>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</si>
  <si>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</si>
  <si>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</si>
  <si>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</si>
  <si>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</si>
  <si>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</si>
  <si>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</si>
  <si>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</si>
  <si>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</si>
  <si>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</si>
  <si>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</si>
  <si>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</si>
  <si>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</si>
  <si>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</si>
  <si>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</si>
  <si>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</si>
  <si>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</si>
  <si>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</si>
  <si>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</si>
  <si>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</si>
  <si>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</si>
  <si>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</si>
  <si>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</si>
  <si>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</si>
  <si>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</si>
  <si>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</si>
  <si>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</si>
  <si>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</si>
  <si>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</si>
  <si>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</si>
  <si>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</si>
  <si>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</si>
  <si>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</si>
  <si>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</si>
  <si>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</si>
  <si>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</si>
  <si>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</si>
  <si>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</si>
  <si>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</si>
  <si>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</si>
  <si>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</si>
  <si>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</si>
  <si>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</si>
  <si>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</si>
  <si>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</si>
  <si>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</si>
  <si>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</si>
  <si>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</si>
  <si>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</si>
  <si>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</si>
  <si>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</si>
  <si>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</si>
  <si>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</si>
  <si>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</si>
  <si>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</si>
  <si>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</si>
  <si>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</si>
  <si>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</si>
  <si>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</si>
  <si>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</si>
  <si>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</si>
  <si>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</si>
  <si>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</si>
  <si>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</si>
  <si>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</si>
  <si>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</si>
  <si>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</si>
  <si>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</si>
  <si>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</si>
  <si>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</si>
  <si>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</si>
  <si>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</si>
  <si>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</si>
  <si>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</si>
  <si>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</si>
  <si>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</si>
  <si>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</si>
  <si>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</si>
  <si>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</si>
  <si>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</si>
  <si>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</si>
  <si>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</si>
  <si>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</si>
  <si>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</si>
  <si>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</si>
  <si>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</si>
  <si>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23231</t>
  </si>
  <si>
    <t>23232</t>
  </si>
  <si>
    <t>00311</t>
  </si>
  <si>
    <t>00312</t>
  </si>
  <si>
    <t>Kapitālais remonts un rekonstrukcija</t>
  </si>
  <si>
    <t>Kopā intelektuālie īpašumi</t>
  </si>
  <si>
    <t>Kopā nekustamie īpašumi</t>
  </si>
  <si>
    <t>Kopā kustamie īpašumi</t>
  </si>
  <si>
    <t>Kopā ieguldījumi</t>
  </si>
  <si>
    <t>Saņemtās pacientu iemaksas (ambulatorai palīdzībai)</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</si>
  <si>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</si>
  <si>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</si>
  <si>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</si>
  <si>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</si>
  <si>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</si>
  <si>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</si>
  <si>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</si>
  <si>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</si>
  <si>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</si>
  <si>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</si>
  <si>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</si>
  <si>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</si>
  <si>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</si>
  <si>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</si>
  <si>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</si>
  <si>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</si>
  <si>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</si>
  <si>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</si>
  <si>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Darba devēja pabalsti un kompensācijas, no kā neaprēķina iedzīvotāju ienākuma nodokli un valsts sociālās apdrošināšanas obligātās iemaksas</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</si>
  <si>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</si>
  <si>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</si>
  <si>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</si>
  <si>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</si>
  <si>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</si>
  <si>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</si>
  <si>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</si>
  <si>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</si>
  <si>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</si>
  <si>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</si>
  <si>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</si>
  <si>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</si>
  <si>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</si>
  <si>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</si>
  <si>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</si>
  <si>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</si>
  <si>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</si>
  <si>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</si>
  <si>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</si>
  <si>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</si>
  <si>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</si>
  <si>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</si>
  <si>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</si>
  <si>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</si>
  <si>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Pašu kapitāls</t>
  </si>
  <si>
    <t>Pamatkapitāls</t>
  </si>
  <si>
    <t>Nesadalītā peļņa:</t>
  </si>
  <si>
    <t>Uzkrājumi</t>
  </si>
  <si>
    <t>Kreditori</t>
  </si>
  <si>
    <t>Ilgtermiņa kreditori</t>
  </si>
  <si>
    <t>Aizņēmumi no kredītiestādēm</t>
  </si>
  <si>
    <t>Citi aizņēmumi</t>
  </si>
  <si>
    <t>Nākamo periodu ieņēmumi</t>
  </si>
  <si>
    <t>Īstermiņa kreditori</t>
  </si>
  <si>
    <t>No pircējiem saņemtie avansi</t>
  </si>
  <si>
    <t>Parādi piegādātājiem un darbuzņēmējiem</t>
  </si>
  <si>
    <t>Pārējie kreditori</t>
  </si>
  <si>
    <t>Uzkrātās saistības</t>
  </si>
  <si>
    <t>Ilgtermiņa ieguldījumi</t>
  </si>
  <si>
    <t>Nemateriālie ieguldījumi</t>
  </si>
  <si>
    <t>Pamatlīdzekļi</t>
  </si>
  <si>
    <t>Avansa maksājumi par pamatlīdzekļiem</t>
  </si>
  <si>
    <t>Ilgtermiņa finanšu ieguldījumi</t>
  </si>
  <si>
    <t>Apgrozāmie līdzekļi</t>
  </si>
  <si>
    <t>Krājumi</t>
  </si>
  <si>
    <t>Uzkrātie ieņēmumi</t>
  </si>
  <si>
    <t xml:space="preserve">Ilgtermiņa kredītsaistības kopā </t>
  </si>
  <si>
    <t xml:space="preserve">Īstermiņa kredītsaistības kopā </t>
  </si>
  <si>
    <t>Veselības aprūpes pakalpojumiem</t>
  </si>
  <si>
    <t>Sociāliem pakalpojumiem</t>
  </si>
  <si>
    <t>Izdevumi par sakaru pakalpojumiem</t>
  </si>
  <si>
    <t>Izdevumi par siltumenerģiju</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</si>
  <si>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</si>
  <si>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</si>
  <si>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</si>
  <si>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</si>
  <si>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</si>
  <si>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</si>
  <si>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</si>
  <si>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</si>
  <si>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</si>
  <si>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</si>
  <si>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</si>
  <si>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</si>
  <si>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</si>
  <si>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</si>
  <si>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</si>
  <si>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</si>
  <si>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</si>
  <si>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</si>
  <si>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Nemateriālo ieguldījumu nolietojums</t>
  </si>
  <si>
    <t>Rādītāja nosaukums</t>
  </si>
  <si>
    <t>Neto apgrozījums</t>
  </si>
  <si>
    <t>Bruto peļņa vai zaudējumi (no apgrozījuma)</t>
  </si>
  <si>
    <t>Pārdošanas izmaksas</t>
  </si>
  <si>
    <t>Administrācijas izmaksas</t>
  </si>
  <si>
    <t xml:space="preserve">Pārējie saimnieciskās darbības ieņēmumi </t>
  </si>
  <si>
    <t>Pārējie saimnieciskās darbības izmaksas</t>
  </si>
  <si>
    <t>Ieņēmumi no vērtspapīriem un aizdevumiem, kas veidojuši ilgtermiņa aizdevumus</t>
  </si>
  <si>
    <t>Pārējie procentu ieņēmumi un tamlīdzīgi ieņēmumi</t>
  </si>
  <si>
    <t>Procentu maksājumi un tamlīdzīgas izmaksas</t>
  </si>
  <si>
    <t>Nr.p.k.</t>
  </si>
  <si>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</si>
  <si>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</si>
  <si>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</si>
  <si>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</si>
  <si>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</si>
  <si>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</si>
  <si>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</si>
  <si>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</si>
  <si>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</si>
  <si>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</si>
  <si>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</si>
  <si>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</si>
  <si>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</si>
  <si>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</si>
  <si>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</si>
  <si>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</si>
  <si>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</si>
  <si>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</si>
  <si>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</si>
  <si>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</si>
  <si>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</si>
  <si>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</si>
  <si>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</si>
  <si>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</si>
  <si>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</si>
  <si>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</si>
  <si>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</si>
  <si>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</si>
  <si>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</si>
  <si>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</si>
  <si>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</si>
  <si>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</si>
  <si>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</si>
  <si>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</si>
  <si>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</si>
  <si>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</si>
  <si>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</si>
  <si>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Kopējais stacionēto pacientu īpatsvars  no kopējā gadījumu skaita uzņemšanas nodaļā, % (23212/23110)</t>
  </si>
  <si>
    <t>Vidējais gultu noslogojums diennakts stacionārā, %</t>
  </si>
  <si>
    <t>Vidējais gultu noslogojums dienas stacionārā, %</t>
  </si>
  <si>
    <t>Ārstniecības personu īpatsvars, kas veic virsstundu darbu, no kopējā ārtsniecības personu skaita, %</t>
  </si>
  <si>
    <t>27200</t>
  </si>
  <si>
    <t>27110</t>
  </si>
  <si>
    <t>27300</t>
  </si>
  <si>
    <t>Novirze no n. gada pārskata perioda plāna, euro</t>
  </si>
  <si>
    <t>Novirze no n. gada pārskata perioda plāna, %</t>
  </si>
  <si>
    <t xml:space="preserve">     Skaidrojumi par novirzēm ir jāsniedz  sekojošiem Ieguldījumu tāmes pozīciju kodiem: 51000, 52000 un 53000.</t>
  </si>
  <si>
    <t>Ieņēmumi no pašvaldības budžeta</t>
  </si>
  <si>
    <t>0021</t>
  </si>
  <si>
    <t>0022</t>
  </si>
  <si>
    <t>Pārējās licences, koncesijas un patenti, preču zīmes un tamlīdzīgas tiesības</t>
  </si>
  <si>
    <t>Medicīnas un laboratoijas iekārtas</t>
  </si>
  <si>
    <t>Pārējās tehnoloģiskās iekārtas un mašīnas</t>
  </si>
  <si>
    <t>Pārdotās produkcijas ražošanas pašizmaksa, pārdoto preču vai sniegto pakalpojumu iegādes izmaksas</t>
  </si>
  <si>
    <t>Citi ieņēmumi (Ieņēmumi no bez atlīdzības saņemtajām precēm u.tml.)</t>
  </si>
  <si>
    <t>Rezerves</t>
  </si>
  <si>
    <t>Iepriekšējo gadu nesadalītā peļņa vai nesegtie zaudējumi</t>
  </si>
  <si>
    <t>Pārskata gada peļņa vai zaudējumi</t>
  </si>
  <si>
    <t>Nodokļi un valsts sociālās apdrošināšanas obligātās iemaksas</t>
  </si>
  <si>
    <t>Neizmaksātās dividendes</t>
  </si>
  <si>
    <t>Attīstības izmaksas</t>
  </si>
  <si>
    <t>Koncesijas, patenti, licences, preču zīmes un tamlīdzīgas tiesības</t>
  </si>
  <si>
    <t>Citi nemateriālie ieguldījumi</t>
  </si>
  <si>
    <t>Nemateriālā vērtība</t>
  </si>
  <si>
    <t>Avansa maksājumi par nemateriālajiem ieguldījumiem</t>
  </si>
  <si>
    <t>Ilgtermiņa ieguldījumi nomātajos pamatlīdzekļos</t>
  </si>
  <si>
    <t>Izejvielas, pamatmateriāli un palīgmateriāl</t>
  </si>
  <si>
    <t>Nepabeigtie ražojumi un pasūtījumi</t>
  </si>
  <si>
    <t>Īstermiņa finanšu ieguldījumi</t>
  </si>
  <si>
    <t>Pamatlīdzekļu un nemateriālo ieguldījumu iegāde kopā</t>
  </si>
  <si>
    <t>Izpilde periodā no n. gada sākuma līdz II ceturkšņa beigām</t>
  </si>
  <si>
    <t>Izpilde periodā no n. gada sākuma līdz III ceturkšņa beigām</t>
  </si>
  <si>
    <t>Izpilde periodā no n. gada sākuma līdz IV ceturkšņa beigām</t>
  </si>
  <si>
    <t xml:space="preserve">Ieņēmumi no līdzdalības </t>
  </si>
  <si>
    <t>Ilgtermiņa un īstermiņa finanšu ieguldījumu vērtības samazinājuma korekcijas</t>
  </si>
  <si>
    <t>Peļņa vai zaudējumi pirms uzņēmumu ienākuma nodokļa</t>
  </si>
  <si>
    <t>Uzņēmumu ienākuma nodoklis par pārskata gadu</t>
  </si>
  <si>
    <t xml:space="preserve">Peļņa vai zaudējumi pēc uzņēmumu ienākuma nodokļa aprēķināšanas </t>
  </si>
  <si>
    <t>Ieņēmumi vai izmaksas no atliktā nodokļa aktīvu vai saistību atlikumu izmaiņām</t>
  </si>
  <si>
    <t>Ārkārtas dividendes</t>
  </si>
  <si>
    <t xml:space="preserve">Pārskata perioda peļņa vai zaudējumi </t>
  </si>
  <si>
    <t>Mazākumakcionāru peļņas vai zaudējumu daļa</t>
  </si>
  <si>
    <t>Norādījumi veidlapas aizpildīšanai:</t>
  </si>
  <si>
    <r>
      <t>Skaidrojumi</t>
    </r>
    <r>
      <rPr>
        <vertAlign val="superscript"/>
        <sz val="12"/>
        <rFont val="Times New Roman"/>
        <family val="1"/>
      </rPr>
      <t>2</t>
    </r>
  </si>
  <si>
    <r>
      <rPr>
        <vertAlign val="superscript"/>
        <sz val="12"/>
        <rFont val="Times New Roman"/>
        <family val="1"/>
      </rPr>
      <t>3</t>
    </r>
    <r>
      <rPr>
        <sz val="12"/>
        <rFont val="Times New Roman"/>
        <family val="1"/>
      </rPr>
      <t xml:space="preserve"> t.sk.asins sagatavošanas nodaļas pakalpojumiem, pakalpojumi maznodrošinātajiem utt.</t>
    </r>
  </si>
  <si>
    <r>
      <rPr>
        <vertAlign val="superscript"/>
        <sz val="12"/>
        <rFont val="Times New Roman"/>
        <family val="1"/>
      </rPr>
      <t>4</t>
    </r>
    <r>
      <rPr>
        <sz val="12"/>
        <rFont val="Times New Roman"/>
        <family val="1"/>
      </rPr>
      <t xml:space="preserve"> piem., Černobiļas apliecības izsniegšana, tehnisko palīglīdzekļu centra funkciju nodrošināšana</t>
    </r>
  </si>
  <si>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</si>
  <si>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r>
      <t xml:space="preserve">Pacientu skaits periodā, kuriem sniegta neatliekamā medicīniskā palīdzība un </t>
    </r>
    <r>
      <rPr>
        <i/>
        <sz val="12"/>
        <rFont val="Times New Roman"/>
        <family val="1"/>
      </rPr>
      <t>tie novirzīti turpmākai ambulatorai ārstēšanai</t>
    </r>
  </si>
  <si>
    <r>
      <t>Pacientu skaits periodā,</t>
    </r>
    <r>
      <rPr>
        <i/>
        <sz val="12"/>
        <rFont val="Times New Roman"/>
        <family val="1"/>
      </rPr>
      <t xml:space="preserve"> kuri stacionēti (bez observācijas)</t>
    </r>
  </si>
  <si>
    <r>
      <t xml:space="preserve">Pacientu skaits periodā, </t>
    </r>
    <r>
      <rPr>
        <i/>
        <sz val="12"/>
        <rFont val="Times New Roman"/>
        <family val="1"/>
      </rPr>
      <t>kuriem nodrošināts observācijas pakalpojums, t.sk.</t>
    </r>
  </si>
  <si>
    <r>
      <t>Vidējais</t>
    </r>
    <r>
      <rPr>
        <vertAlign val="superscript"/>
        <sz val="12"/>
        <rFont val="Times New Roman"/>
        <family val="1"/>
      </rPr>
      <t>1</t>
    </r>
    <r>
      <rPr>
        <sz val="12"/>
        <rFont val="Times New Roman"/>
        <family val="1"/>
      </rPr>
      <t xml:space="preserve"> observācijas gultu skaits</t>
    </r>
  </si>
  <si>
    <r>
      <t>Kopējais hospitalizācijas</t>
    </r>
    <r>
      <rPr>
        <vertAlign val="superscript"/>
        <sz val="12"/>
        <rFont val="Times New Roman"/>
        <family val="1"/>
      </rPr>
      <t>2</t>
    </r>
    <r>
      <rPr>
        <sz val="12"/>
        <rFont val="Times New Roman"/>
        <family val="1"/>
      </rPr>
      <t xml:space="preserve"> gadījumu skaits, t.sk.</t>
    </r>
  </si>
  <si>
    <r>
      <t>Valsts apmaksāto hospitalizācijas</t>
    </r>
    <r>
      <rPr>
        <i/>
        <vertAlign val="superscript"/>
        <sz val="12"/>
        <rFont val="Times New Roman"/>
        <family val="1"/>
      </rPr>
      <t>2</t>
    </r>
    <r>
      <rPr>
        <i/>
        <sz val="12"/>
        <rFont val="Times New Roman"/>
        <family val="1"/>
      </rPr>
      <t xml:space="preserve"> gadījumu skaits</t>
    </r>
  </si>
  <si>
    <r>
      <t>Plānveida hospitalizācijas</t>
    </r>
    <r>
      <rPr>
        <vertAlign val="superscript"/>
        <sz val="12"/>
        <rFont val="Times New Roman"/>
        <family val="1"/>
      </rPr>
      <t>2</t>
    </r>
    <r>
      <rPr>
        <sz val="12"/>
        <rFont val="Times New Roman"/>
        <family val="1"/>
      </rPr>
      <t xml:space="preserve"> gadījumu skaits, t.sk.:</t>
    </r>
  </si>
  <si>
    <r>
      <t>Valsts apmaksāto plānveida hospitalizācijas</t>
    </r>
    <r>
      <rPr>
        <i/>
        <vertAlign val="superscript"/>
        <sz val="12"/>
        <rFont val="Times New Roman"/>
        <family val="1"/>
      </rPr>
      <t>2</t>
    </r>
    <r>
      <rPr>
        <i/>
        <sz val="12"/>
        <rFont val="Times New Roman"/>
        <family val="1"/>
      </rPr>
      <t xml:space="preserve"> gadījumu skaits</t>
    </r>
  </si>
  <si>
    <r>
      <t>Neatliekamo hospitalizāciju</t>
    </r>
    <r>
      <rPr>
        <vertAlign val="superscript"/>
        <sz val="12"/>
        <rFont val="Times New Roman"/>
        <family val="1"/>
      </rPr>
      <t>2</t>
    </r>
    <r>
      <rPr>
        <sz val="12"/>
        <rFont val="Times New Roman"/>
        <family val="1"/>
      </rPr>
      <t xml:space="preserve"> gadījumu skaits, t.sk.:</t>
    </r>
  </si>
  <si>
    <r>
      <t>Valsts apmaksāto neatliekamo hospitalizācijas</t>
    </r>
    <r>
      <rPr>
        <i/>
        <vertAlign val="superscript"/>
        <sz val="12"/>
        <rFont val="Times New Roman"/>
        <family val="1"/>
      </rPr>
      <t>2</t>
    </r>
    <r>
      <rPr>
        <i/>
        <sz val="12"/>
        <rFont val="Times New Roman"/>
        <family val="1"/>
      </rPr>
      <t xml:space="preserve"> gadījumu skaits</t>
    </r>
  </si>
  <si>
    <r>
      <t>Atkārtoti hospitalizēto pacientu skaits, neieskaitot pacientus, kuriem nākamā hospitalizācija ir aprūpe vai rehabilitācija</t>
    </r>
    <r>
      <rPr>
        <vertAlign val="superscript"/>
        <sz val="12"/>
        <rFont val="Times New Roman"/>
        <family val="1"/>
      </rPr>
      <t>9</t>
    </r>
  </si>
  <si>
    <r>
      <t>Atkārtoti hospitalizēto pacientu skaits, kuriem nākamā hospitalizācija ir aprūpe,  rehabilitācija vai nākamais ārstēšanas posms</t>
    </r>
    <r>
      <rPr>
        <vertAlign val="superscript"/>
        <sz val="12"/>
        <rFont val="Times New Roman"/>
        <family val="1"/>
      </rPr>
      <t>10</t>
    </r>
  </si>
  <si>
    <r>
      <t>Ambultatori izdarīto operāciju skaits</t>
    </r>
    <r>
      <rPr>
        <vertAlign val="superscript"/>
        <sz val="12"/>
        <rFont val="Times New Roman"/>
        <family val="1"/>
      </rPr>
      <t>11</t>
    </r>
    <r>
      <rPr>
        <sz val="12"/>
        <rFont val="Times New Roman"/>
        <family val="1"/>
      </rPr>
      <t>, t.sk.:</t>
    </r>
  </si>
  <si>
    <r>
      <t xml:space="preserve">Klienta dienas vidējā realizācijas maksa, </t>
    </r>
    <r>
      <rPr>
        <i/>
        <sz val="12"/>
        <rFont val="Times New Roman"/>
        <family val="1"/>
      </rPr>
      <t>euro</t>
    </r>
  </si>
  <si>
    <r>
      <t xml:space="preserve">Klienta dienas vidējā pašizmaksa, </t>
    </r>
    <r>
      <rPr>
        <i/>
        <sz val="12"/>
        <rFont val="Times New Roman"/>
        <family val="1"/>
      </rPr>
      <t>euro</t>
    </r>
  </si>
  <si>
    <r>
      <t xml:space="preserve">Vidējais sociālās aprūpes ilgums, </t>
    </r>
    <r>
      <rPr>
        <i/>
        <sz val="12"/>
        <rFont val="Times New Roman"/>
        <family val="1"/>
      </rPr>
      <t xml:space="preserve">dienas </t>
    </r>
  </si>
  <si>
    <r>
      <t>Ārsti</t>
    </r>
    <r>
      <rPr>
        <vertAlign val="superscript"/>
        <sz val="12"/>
        <rFont val="Times New Roman"/>
        <family val="1"/>
      </rPr>
      <t>3</t>
    </r>
  </si>
  <si>
    <r>
      <t>Ārstniecības un pacientu aprūpes personāls</t>
    </r>
    <r>
      <rPr>
        <vertAlign val="superscript"/>
        <sz val="12"/>
        <rFont val="Times New Roman"/>
        <family val="1"/>
      </rPr>
      <t>4</t>
    </r>
  </si>
  <si>
    <r>
      <t>Ārstniecības un pacientu aprūpes atbalsta personāls</t>
    </r>
    <r>
      <rPr>
        <vertAlign val="superscript"/>
        <sz val="12"/>
        <rFont val="Times New Roman"/>
        <family val="1"/>
      </rPr>
      <t>5</t>
    </r>
  </si>
  <si>
    <r>
      <t>Administrācija</t>
    </r>
    <r>
      <rPr>
        <vertAlign val="superscript"/>
        <sz val="12"/>
        <rFont val="Times New Roman"/>
        <family val="1"/>
      </rPr>
      <t>6</t>
    </r>
  </si>
  <si>
    <r>
      <t>Pārējais personāls (t.sk. sanitāri)</t>
    </r>
    <r>
      <rPr>
        <vertAlign val="superscript"/>
        <sz val="12"/>
        <rFont val="Times New Roman"/>
        <family val="1"/>
      </rPr>
      <t>7</t>
    </r>
  </si>
  <si>
    <r>
      <t xml:space="preserve">Darbinieku </t>
    </r>
    <r>
      <rPr>
        <b/>
        <u/>
        <sz val="12"/>
        <rFont val="Times New Roman"/>
        <family val="1"/>
      </rPr>
      <t xml:space="preserve">vidējie </t>
    </r>
    <r>
      <rPr>
        <b/>
        <sz val="12"/>
        <rFont val="Times New Roman"/>
        <family val="1"/>
      </rPr>
      <t xml:space="preserve">ienākumi mēnesī: </t>
    </r>
  </si>
  <si>
    <r>
      <t>Kopējā slimnīcas telpu platība  (m</t>
    </r>
    <r>
      <rPr>
        <vertAlign val="superscript"/>
        <sz val="12"/>
        <rFont val="Times New Roman"/>
        <family val="1"/>
      </rPr>
      <t>2</t>
    </r>
    <r>
      <rPr>
        <sz val="12"/>
        <rFont val="Times New Roman"/>
        <family val="1"/>
      </rPr>
      <t>), t.sk.:</t>
    </r>
  </si>
  <si>
    <r>
      <t>Ūdens patēriņš  ( m</t>
    </r>
    <r>
      <rPr>
        <vertAlign val="superscript"/>
        <sz val="12"/>
        <rFont val="Times New Roman"/>
        <family val="1"/>
      </rPr>
      <t>3</t>
    </r>
    <r>
      <rPr>
        <sz val="12"/>
        <rFont val="Times New Roman"/>
        <family val="1"/>
      </rPr>
      <t>)</t>
    </r>
  </si>
  <si>
    <r>
      <t>Kanalizācija  (m</t>
    </r>
    <r>
      <rPr>
        <vertAlign val="superscript"/>
        <sz val="12"/>
        <rFont val="Times New Roman"/>
        <family val="1"/>
      </rPr>
      <t>3</t>
    </r>
    <r>
      <rPr>
        <sz val="12"/>
        <rFont val="Times New Roman"/>
        <family val="1"/>
      </rPr>
      <t>)</t>
    </r>
  </si>
  <si>
    <r>
      <t>Stacionāro pakalpojumu sniegšanai izmantotie medikamenti uz gultas dienu</t>
    </r>
    <r>
      <rPr>
        <vertAlign val="superscript"/>
        <sz val="12"/>
        <rFont val="Times New Roman"/>
        <family val="1"/>
      </rPr>
      <t>8</t>
    </r>
  </si>
  <si>
    <t xml:space="preserve">Attīstības pasākumi un programmas </t>
  </si>
  <si>
    <t xml:space="preserve">Datorprogrammas </t>
  </si>
  <si>
    <t xml:space="preserve">Pārējie nemateriālie ieguldījumi </t>
  </si>
  <si>
    <t xml:space="preserve">Nedzīvojamās ēkas </t>
  </si>
  <si>
    <t xml:space="preserve">Zeme zem ēkām un būvēm </t>
  </si>
  <si>
    <t xml:space="preserve">Pārējā zeme </t>
  </si>
  <si>
    <t xml:space="preserve">Celtnes un būves </t>
  </si>
  <si>
    <t xml:space="preserve">Pārējais nekustamais īpašums </t>
  </si>
  <si>
    <t xml:space="preserve">Nepabeigtā būvniecība </t>
  </si>
  <si>
    <t xml:space="preserve">Tehnoloģiskās iekārtas un mašīnas </t>
  </si>
  <si>
    <t xml:space="preserve">Transportlīdzekļi </t>
  </si>
  <si>
    <t xml:space="preserve">Saimniecības pamatlīdzekļi </t>
  </si>
  <si>
    <t xml:space="preserve">Datortehnika, sakaru un cita biroja tehnika </t>
  </si>
  <si>
    <t xml:space="preserve">Pārējie iepriekš neklasificētie pamatlīdzekļi </t>
  </si>
  <si>
    <t xml:space="preserve">Ilgtermiņa ieguldījumi nomātajos pamatlīdzekļos </t>
  </si>
  <si>
    <t>Samaksa par virsstundu darbu un darbu svētku dienās</t>
  </si>
  <si>
    <t>Izdevumi par ūdeni un kanalizāciju</t>
  </si>
  <si>
    <t>Iestādes administratīvie izdevumi un ar iestādes darbības nodrošināšanu
 saistītie izdevumi</t>
  </si>
  <si>
    <t>Normatīvajos aktos noteiktie veselības un fiziskās sagatavotības pārbaudes izdevumi</t>
  </si>
  <si>
    <t>Izdevumi, kas saistīti ar operatīvo darbību</t>
  </si>
  <si>
    <t>Maksājumi par parāda apkalpošanu un komisijas maksas par izmantotajiem atvasinātajiem finanšu instrumentiem</t>
  </si>
  <si>
    <t>Ieņēmumi par izglītojošo un zinātnisko darbību</t>
  </si>
  <si>
    <t xml:space="preserve">Ieņēmumi par valsts finansēto zinātnisko darbību </t>
  </si>
  <si>
    <t>00314</t>
  </si>
  <si>
    <t>Darba devēja valsts sociālās apdrošināšanas obligātās iemaksas</t>
  </si>
  <si>
    <t>Darba devēja pabalsti, kompensācijas un citi maksājumi</t>
  </si>
  <si>
    <t>Pacientu iemaksas par atbrīvotajām kategorijām (ambulatorai p.)</t>
  </si>
  <si>
    <t>Ambulatorai palīdzībai</t>
  </si>
  <si>
    <t>Pacientu iemaksas par atbrīvotajām kategorijām (stacionāram)</t>
  </si>
  <si>
    <t xml:space="preserve">Stacionārai palīdzībai </t>
  </si>
  <si>
    <r>
      <t>Citi ieņēmumi (piem.reģistru uztur., retajiem medikam. utt.)</t>
    </r>
    <r>
      <rPr>
        <vertAlign val="superscript"/>
        <sz val="12"/>
        <rFont val="Times New Roman"/>
        <family val="1"/>
      </rPr>
      <t>3</t>
    </r>
  </si>
  <si>
    <t>Maksas veselības aprūpes pakalpojumi</t>
  </si>
  <si>
    <t>Maksas sociālie pakalpojumi</t>
  </si>
  <si>
    <t>Pārējie saimnieciskās darbības ieņēmumi</t>
  </si>
  <si>
    <t>Ieņēmumi no nomas</t>
  </si>
  <si>
    <t>Nolietojums</t>
  </si>
  <si>
    <r>
      <t>Skaidrojumi</t>
    </r>
    <r>
      <rPr>
        <vertAlign val="superscript"/>
        <sz val="12"/>
        <rFont val="Times New Roman"/>
        <family val="1"/>
      </rPr>
      <t>12</t>
    </r>
  </si>
  <si>
    <r>
      <t>Skaidrojumi</t>
    </r>
    <r>
      <rPr>
        <vertAlign val="superscript"/>
        <sz val="12"/>
        <rFont val="Times New Roman"/>
        <family val="1"/>
      </rPr>
      <t>1</t>
    </r>
  </si>
  <si>
    <t>Nosaukums</t>
  </si>
  <si>
    <t>Bilances posteņa nosaukums</t>
  </si>
  <si>
    <r>
      <t>Nosaukums</t>
    </r>
    <r>
      <rPr>
        <vertAlign val="superscript"/>
        <sz val="12"/>
        <rFont val="Times New Roman"/>
        <family val="1"/>
      </rPr>
      <t>1</t>
    </r>
  </si>
  <si>
    <t xml:space="preserve">Peļņas vai zaudējumu aprēķinu un Bilanci apkopo un norāda atbilstoši apstiprinātai kapitālsabiedrības grāmatvedības politikai.                      Visiem pielikumos norādītiem datiem jābūt loģiski savstarpēji saistītiem. </t>
  </si>
  <si>
    <r>
      <rPr>
        <vertAlign val="superscript"/>
        <sz val="12"/>
        <rFont val="Times New Roman"/>
        <family val="1"/>
      </rPr>
      <t xml:space="preserve">1 </t>
    </r>
    <r>
      <rPr>
        <sz val="12"/>
        <rFont val="Times New Roman"/>
        <family val="1"/>
      </rPr>
      <t xml:space="preserve"> "vidējais"  rādītāja vērtība katra mēneša pēdējā datumā un summa, dalot ar mēnešu skaitu pārskata periodā</t>
    </r>
  </si>
  <si>
    <r>
      <rPr>
        <vertAlign val="superscript"/>
        <sz val="12"/>
        <rFont val="Times New Roman"/>
        <family val="1"/>
      </rPr>
      <t xml:space="preserve">2 </t>
    </r>
    <r>
      <rPr>
        <sz val="12"/>
        <rFont val="Times New Roman"/>
        <family val="1"/>
      </rPr>
      <t>hospitalizāciju skaits, bez fiktīvās izrakstīšanās attiecīgā perioda ietvaros</t>
    </r>
  </si>
  <si>
    <r>
      <rPr>
        <vertAlign val="superscript"/>
        <sz val="12"/>
        <rFont val="Times New Roman"/>
        <family val="1"/>
      </rPr>
      <t xml:space="preserve">3 </t>
    </r>
    <r>
      <rPr>
        <sz val="12"/>
        <rFont val="Times New Roman"/>
        <family val="1"/>
      </rPr>
      <t>sertificēti  ārsti, zobārsti un funkcionālie speciālisti, reģistrēti ārsti, zobārsti un funkcionālie speciālisti, rezidenti</t>
    </r>
  </si>
  <si>
    <r>
      <rPr>
        <vertAlign val="superscript"/>
        <sz val="12"/>
        <rFont val="Times New Roman"/>
        <family val="1"/>
      </rPr>
      <t xml:space="preserve">4 </t>
    </r>
    <r>
      <rPr>
        <sz val="12"/>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</si>
  <si>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2"/>
        <rFont val="Times New Roman"/>
        <family val="1"/>
      </rPr>
      <t xml:space="preserve">5 </t>
    </r>
    <r>
      <rPr>
        <sz val="12"/>
        <rFont val="Times New Roman"/>
        <family val="1"/>
      </rPr>
      <t>māsu palīgi, zobārsta asistenti</t>
    </r>
  </si>
  <si>
    <r>
      <rPr>
        <vertAlign val="superscript"/>
        <sz val="12"/>
        <rFont val="Times New Roman"/>
        <family val="1"/>
      </rPr>
      <t xml:space="preserve">6 </t>
    </r>
    <r>
      <rPr>
        <sz val="12"/>
        <rFont val="Times New Roman"/>
        <family val="1"/>
      </rPr>
      <t xml:space="preserve">valde, padome, valdes/padomes birojs, ārstniecības personām, kuras tiešā veidā nav saistītas ar pacientu ārstēšanu -  klīniku vadītājiem, virsārstiem, profila virsārstiem, vecākajiem ārstiem, galvenajām māsām, ārstiem koordinatoriem, projektu vadītājiem, departamentu direktoriem un to vietniekiem, tehniskajam direktoram, kā arī sekojošām struktūrvienībām: komunikācijas, personāla vadības, finanšu, u.c. </t>
    </r>
  </si>
  <si>
    <r>
      <rPr>
        <vertAlign val="superscript"/>
        <sz val="12"/>
        <rFont val="Times New Roman"/>
        <family val="1"/>
      </rPr>
      <t xml:space="preserve">7 </t>
    </r>
    <r>
      <rPr>
        <sz val="12"/>
        <rFont val="Times New Roman"/>
        <family val="1"/>
      </rPr>
      <t>saimnieciskais personāls, ārstniecības un aprūpes procesu atbalsta personāls (t.sk. sanitāri)</t>
    </r>
  </si>
  <si>
    <r>
      <rPr>
        <vertAlign val="superscript"/>
        <sz val="12"/>
        <rFont val="Times New Roman"/>
        <family val="1"/>
      </rPr>
      <t xml:space="preserve">8 </t>
    </r>
    <r>
      <rPr>
        <sz val="12"/>
        <rFont val="Times New Roman"/>
        <family val="1"/>
      </rPr>
      <t>medikamenti, medicīnas preces, implanti, sterilizācijas materiāli, medicīnas instrumenti, laboratorijas preces stacionāro pakalpojumu nodrošināšanai (bez bezmaksas medikamnetiem un med. Precēm)/ Stacionāra gultu dienu skaits</t>
    </r>
  </si>
  <si>
    <r>
      <rPr>
        <vertAlign val="superscript"/>
        <sz val="12"/>
        <rFont val="Times New Roman"/>
        <family val="1"/>
      </rPr>
      <t xml:space="preserve">9 </t>
    </r>
    <r>
      <rPr>
        <sz val="12"/>
        <rFont val="Times New Roman"/>
        <family val="1"/>
      </rPr>
      <t>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</si>
  <si>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2"/>
        <rFont val="Times New Roman"/>
        <family val="1"/>
      </rPr>
      <t>10</t>
    </r>
    <r>
      <rPr>
        <sz val="12"/>
        <color theme="1"/>
        <rFont val="Calibri"/>
        <family val="2"/>
        <charset val="186"/>
        <scheme val="minor"/>
      </rPr>
      <t xml:space="preserve"> </t>
    </r>
    <r>
      <rPr>
        <sz val="12"/>
        <rFont val="Times New Roman"/>
        <family val="1"/>
      </rPr>
      <t>rehospitalizāciju skaitā ieskaita pacientus, kas atkārtoti hospitalizēti tajā pašā vai nākamajā dienā, kuru nākamā hospitalizācija ir aprūpe vai rehabilitācija (atbilstoši NVD mājas lapā publicētā "Pārskats par uz mājām izrakstītiem pacientiem, kas atkārtoti hospitalizēti tajā pašā vai nākamajā dienā" izslēgšanas kritērijos GPF kodam)</t>
    </r>
  </si>
  <si>
    <r>
      <rPr>
        <vertAlign val="superscript"/>
        <sz val="12"/>
        <rFont val="Times New Roman"/>
        <family val="1"/>
      </rPr>
      <t xml:space="preserve">11 </t>
    </r>
    <r>
      <rPr>
        <sz val="12"/>
        <rFont val="Times New Roman"/>
        <family val="1"/>
      </rPr>
      <t>atbilstoši NVD mājas lapā publocētajam "Valsts apmaksājamo manipulāciju un to apmaksas nosacījumu saraksts" Lielo ķirurģisko operāciju klasifikatoram (10.kolonna)</t>
    </r>
  </si>
  <si>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</si>
  <si>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r>
      <rPr>
        <vertAlign val="superscript"/>
        <sz val="12"/>
        <rFont val="Times New Roman"/>
        <family val="1"/>
      </rPr>
      <t xml:space="preserve">12 </t>
    </r>
    <r>
      <rPr>
        <sz val="12"/>
        <rFont val="Times New Roman"/>
        <family val="1"/>
      </rPr>
      <t>detalizēti skaidrojumi par noviržu iemesliem periodā no n gada sākuma līdz pārskata ceturkšņa beigām gadījumos, ja novirze ir virs 15%.</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</si>
  <si>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gadījumos, ja novirze faktisko budžeta ieņēmumu un izdevumu pozīcijās ir virs 15%.</t>
    </r>
  </si>
  <si>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Nr. 1031 "Noteikumi par budžetu izdevumu klasifikāciju atbilstoši ekonomiskajām kategorijām" un jāpiemēro šo MK noteikumu skaidrojumi atbilstošiem EKK</t>
    </r>
  </si>
  <si>
    <t>Mēneša amatalga padomei</t>
  </si>
  <si>
    <t>Dienas nauda</t>
  </si>
  <si>
    <t>Pārējie komandējumu un darba braucienu izdevumi</t>
  </si>
  <si>
    <t>Pakalpojumi, kurus budžeta iestādes apmaksā noteikto funkciju ietvaros, kas nav iestādes administratīvie izdevumi</t>
  </si>
  <si>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2520,2800, 4100, 4200, 4300, 5100, 5200, 0100, 8000.</t>
  </si>
  <si>
    <t>Nemateriālo ieguldījumu amortizācija un vērtības samazinājums</t>
  </si>
  <si>
    <t>Tehnoloģiskās iekārtas un mašīnas</t>
  </si>
  <si>
    <t>Zeme un būves</t>
  </si>
  <si>
    <t>Pārējie pamatlīdzekļi</t>
  </si>
  <si>
    <t>Pamatlīdzekļu izveidošana un nepabeigtā būvniecība</t>
  </si>
  <si>
    <t>Turējumā nodotie valsts un pašvaldību īpašumi</t>
  </si>
  <si>
    <t>Bioloģiskie un pazemes aktīvi</t>
  </si>
  <si>
    <t xml:space="preserve">	Pamatlīdzekļu uzkrātais nolietojums un vērtības samazinājums</t>
  </si>
  <si>
    <t>Ilgtermiņa prasības</t>
  </si>
  <si>
    <t>Ieguldījuma īpašumi</t>
  </si>
  <si>
    <t>Bioloģiskie aktīvi lauksaimnieciskajai darbībai</t>
  </si>
  <si>
    <t>Gatavie ražojumi, pasūtījumi un krājumi atsavināšanai</t>
  </si>
  <si>
    <t>Bioloģisko aktīvu produkti un krājumi to uzturēšanai</t>
  </si>
  <si>
    <t>Valsts materiālās rezerves</t>
  </si>
  <si>
    <t>Speciālais militārais inventārs un speciālā militārā inventāra izveidošana</t>
  </si>
  <si>
    <t xml:space="preserve">	Avansa maksājumi un vērtības samazinājums avansa maksājumiem par krājumiem</t>
  </si>
  <si>
    <t>Vērtības samazinājums krājumiem</t>
  </si>
  <si>
    <t xml:space="preserve">	Īstermiņa prasības</t>
  </si>
  <si>
    <t>Prasības pret pircējiem un pasūtītājiem</t>
  </si>
  <si>
    <t>Prasības par ārvalstu finanšu palīdzības un Eiropas Savienības politiku instrumentu finansētajiem projektiem (pasākumiem)</t>
  </si>
  <si>
    <t>Prasības par nodokļiem, nodevām un citiem maksājumiem budžetos</t>
  </si>
  <si>
    <t>Pārmaksātie nodokļi, nodevas un citi maksājumi budžetos</t>
  </si>
  <si>
    <t>Prasības pret personālu</t>
  </si>
  <si>
    <t>Pārējās prasības</t>
  </si>
  <si>
    <t>Nākamo periodu izdevumi un avansa maksājumi par pakalpojumiem un projektiem</t>
  </si>
  <si>
    <t>Naudas līdzekļi</t>
  </si>
  <si>
    <t>AKTĪVU KOPSUMMA (1000+2000)</t>
  </si>
  <si>
    <t>H</t>
  </si>
  <si>
    <t xml:space="preserve">	Finanšu instrumentu patiesās vērtības rezerve</t>
  </si>
  <si>
    <t xml:space="preserve">	Pārējās rezerves</t>
  </si>
  <si>
    <t>Ilgtermiņa ieguldījumu pārvērtēšanas rezerve.</t>
  </si>
  <si>
    <t>PASĪVU KOPSUMMA (3000+4000+5000)</t>
  </si>
  <si>
    <t>Kredītsaistības  (5100+5200)</t>
  </si>
  <si>
    <t>2022.gada izpilde</t>
  </si>
  <si>
    <t>2023.gada
 plāns</t>
  </si>
  <si>
    <t>Plāns periodam no 2023. gada sākuma līdz I ceturkšņa beigām</t>
  </si>
  <si>
    <t>Plāns periodam no 2023. gada sākuma līdz II ceturkšņa beigām</t>
  </si>
  <si>
    <t>Izpilde periodā no 2023. gada sākuma līdz II ceturkšņa beigām</t>
  </si>
  <si>
    <t>Novirze no 2023. gada pārskata perioda plāna, euro</t>
  </si>
  <si>
    <t>Novirze no 2023. gada pārskata perioda plāna, %</t>
  </si>
  <si>
    <t>Izpilde periodā no 2023. gada sākuma līdz I ceturkšņa beigām</t>
  </si>
  <si>
    <t>Plāns periodam no 2023. gada sākuma līdz III ceturkšņa beigām</t>
  </si>
  <si>
    <t>Izpilde periodā no 2023. gada sākuma līdz III ceturkšņa beigām</t>
  </si>
  <si>
    <t>Plāns periodam no 2023. gada sākuma līdz IV ceturkšņa beigām</t>
  </si>
  <si>
    <t>Izpilde periodā no 2023. gada sākuma līdz IV ceturkšņa beigām</t>
  </si>
  <si>
    <t>-</t>
  </si>
  <si>
    <t>Izpilde periodā no 2023. gada sākuma līdz 2023 ceturkšņa beigām</t>
  </si>
  <si>
    <t>Izpilde periodā no 2023. gada sākuma līdz 2023 I ceturkšņa beigām</t>
  </si>
  <si>
    <t xml:space="preserve"> </t>
  </si>
  <si>
    <r>
      <t>Valsts pārvaldes deleģēto uzdevumu veikšana</t>
    </r>
    <r>
      <rPr>
        <vertAlign val="superscript"/>
        <sz val="12"/>
        <rFont val="Times New Roman"/>
        <family val="1"/>
      </rPr>
      <t>4</t>
    </r>
    <r>
      <rPr>
        <sz val="12"/>
        <rFont val="Times New Roman"/>
        <family val="1"/>
      </rPr>
      <t xml:space="preserve"> Bezmaksas medikamenti</t>
    </r>
  </si>
  <si>
    <t>Licence MediCad</t>
  </si>
  <si>
    <t>Dators</t>
  </si>
  <si>
    <t>2023. gada plāns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</si>
</sst>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s>
  <fonts count="68"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color indexed="9"/>
      <name val="Times New Roman"/>
      <family val="1"/>
    </font>
    <font>
      <b/>
      <sz val="14"/>
      <name val="Times New Roman"/>
      <family val="1"/>
      <charset val="186"/>
    </font>
    <font>
      <sz val="14"/>
      <name val="Times New Roman"/>
      <family val="1"/>
      <charset val="186"/>
    </font>
    <font>
      <b/>
      <sz val="12"/>
      <name val="Times New Roman"/>
      <family val="1"/>
    </font>
    <font>
      <sz val="12"/>
      <name val="Times New Roman"/>
      <family val="1"/>
    </font>
    <font>
      <i/>
      <sz val="12"/>
      <name val="Times New Roman"/>
      <family val="1"/>
    </font>
    <font>
      <sz val="8"/>
      <name val="Arial"/>
      <family val="2"/>
      <charset val="186"/>
    </font>
    <font>
      <vertAlign val="superscript"/>
      <sz val="12"/>
      <name val="Times New Roman"/>
      <family val="1"/>
    </font>
    <font>
      <b/>
      <i/>
      <sz val="12"/>
      <name val="Times New Roman"/>
      <family val="1"/>
    </font>
    <font>
      <u/>
      <sz val="12"/>
      <name val="Times New Roman"/>
      <family val="1"/>
    </font>
    <font>
      <b/>
      <sz val="12"/>
      <color theme="1"/>
      <name val="Times New Roman"/>
      <family val="1"/>
    </font>
    <font>
      <b/>
      <u/>
      <sz val="12"/>
      <name val="Times New Roman"/>
      <family val="1"/>
    </font>
    <font>
      <sz val="12"/>
      <color theme="1"/>
      <name val="Calibri"/>
      <family val="2"/>
      <charset val="186"/>
      <scheme val="minor"/>
    </font>
    <font>
      <i/>
      <vertAlign val="superscript"/>
      <sz val="12"/>
      <name val="Times New Roman"/>
      <family val="1"/>
    </font>
    <font>
      <b/>
      <sz val="12"/>
      <color rgb="FF414142"/>
      <name val="Times New Roman"/>
      <family val="1"/>
    </font>
    <font>
      <b/>
      <sz val="12"/>
      <name val="Times New Roman"/>
      <family val="1"/>
      <charset val="186"/>
    </font>
    <font>
      <i/>
      <sz val="12"/>
      <name val="Times New Roman"/>
      <family val="1"/>
      <charset val="186"/>
    </font>
    <font>
      <b/>
      <i/>
      <sz val="12"/>
      <name val="Times New Roman"/>
      <family val="1"/>
      <charset val="186"/>
    </font>
    <font>
      <b/>
      <i/>
      <sz val="14"/>
      <name val="Times New Roman"/>
      <family val="1"/>
      <charset val="186"/>
    </font>
    <font>
      <u/>
      <sz val="12"/>
      <name val="Times New Roman"/>
      <family val="1"/>
      <charset val="186"/>
    </font>
    <font>
      <sz val="12"/>
      <name val="Arial"/>
      <family val="2"/>
      <charset val="186"/>
    </font>
    <font>
      <b/>
      <sz val="14"/>
      <name val="Arial"/>
      <family val="2"/>
      <charset val="186"/>
    </font>
    <font>
      <sz val="12"/>
      <color rgb="FFFF0000"/>
      <name val="Times New Roman"/>
      <family val="1"/>
    </font>
    <font>
      <b/>
      <sz val="12"/>
      <color rgb="FFFF0000"/>
      <name val="Times New Roman"/>
      <family val="1"/>
    </font>
  </fonts>
  <fills count="3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468">
    <xf numFmtId="0" fontId="0" fillId="0" borderId="0"/>
    <xf numFmtId="0" fontId="6" fillId="0" borderId="0"/>
    <xf numFmtId="0" fontId="6" fillId="0" borderId="0"/>
    <xf numFmtId="0" fontId="5" fillId="0" borderId="0"/>
    <xf numFmtId="0" fontId="4" fillId="0" borderId="0"/>
    <xf numFmtId="0" fontId="6" fillId="0" borderId="0"/>
    <xf numFmtId="0" fontId="6" fillId="0" borderId="0"/>
    <xf numFmtId="0" fontId="3" fillId="0" borderId="0"/>
    <xf numFmtId="0" fontId="2"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27" fillId="0"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41" fontId="6" fillId="0" borderId="0" applyFont="0" applyFill="0" applyBorder="0" applyAlignment="0" applyProtection="0"/>
    <xf numFmtId="165" fontId="10"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17" fillId="0" borderId="15"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18"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1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7" borderId="13" applyNumberFormat="0" applyAlignment="0" applyProtection="0"/>
    <xf numFmtId="0" fontId="20" fillId="7"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0"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10" fillId="0" borderId="0"/>
    <xf numFmtId="0" fontId="10" fillId="0" borderId="0"/>
    <xf numFmtId="0" fontId="6" fillId="0" borderId="0"/>
    <xf numFmtId="0" fontId="33"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1" fillId="0" borderId="0"/>
    <xf numFmtId="0" fontId="1"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35" fillId="0" borderId="0" applyFont="0" applyFill="0" applyAlignment="0" applyProtection="0"/>
    <xf numFmtId="0" fontId="35" fillId="0" borderId="0" applyFont="0" applyFill="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33" fillId="11" borderId="22" applyNumberFormat="0" applyFont="0" applyAlignment="0" applyProtection="0"/>
    <xf numFmtId="0" fontId="3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4"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0" fontId="6" fillId="0" borderId="0"/>
  </cellStyleXfs>
  <cellXfs count="547">
    <xf numFmtId="0" fontId="0" fillId="0" borderId="0" xfId="0"/>
    <xf numFmtId="3" fontId="40" fillId="0" borderId="0" xfId="0" applyNumberFormat="1" applyFont="1" applyAlignment="1">
      <alignment vertical="center"/>
    </xf>
    <xf numFmtId="3" fontId="41" fillId="0" borderId="0" xfId="0" applyNumberFormat="1" applyFont="1" applyAlignment="1">
      <alignment vertical="center"/>
    </xf>
    <xf numFmtId="3" fontId="44" fillId="0" borderId="0" xfId="0" applyNumberFormat="1" applyFont="1" applyAlignment="1">
      <alignment vertical="center"/>
    </xf>
    <xf numFmtId="3" fontId="43" fillId="0" borderId="0" xfId="0" applyNumberFormat="1" applyFont="1" applyAlignment="1">
      <alignment vertical="center"/>
    </xf>
    <xf numFmtId="3" fontId="40" fillId="0" borderId="0" xfId="0" applyNumberFormat="1" applyFont="1" applyAlignment="1">
      <alignment horizontal="center" vertical="center"/>
    </xf>
    <xf numFmtId="0" fontId="39" fillId="0" borderId="0" xfId="0" applyFont="1" applyAlignment="1">
      <alignment vertical="center"/>
    </xf>
    <xf numFmtId="0" fontId="39" fillId="0" borderId="0" xfId="1467" applyFont="1" applyAlignment="1">
      <alignment vertical="center"/>
    </xf>
    <xf numFmtId="0" fontId="46" fillId="0" borderId="0" xfId="1467" applyFont="1" applyAlignment="1" applyProtection="1">
      <alignment vertical="center"/>
      <protection locked="0"/>
    </xf>
    <xf numFmtId="0" fontId="46" fillId="0" borderId="0" xfId="1467" applyFont="1" applyAlignment="1">
      <alignment vertical="center"/>
    </xf>
    <xf numFmtId="0" fontId="46" fillId="0" borderId="0" xfId="1467" applyFont="1" applyAlignment="1">
      <alignment horizontal="center" vertical="center"/>
    </xf>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wrapText="1"/>
    </xf>
    <xf numFmtId="0" fontId="42" fillId="0" borderId="0" xfId="0" applyFont="1" applyAlignment="1">
      <alignment horizontal="center" vertical="center"/>
    </xf>
    <xf numFmtId="0" fontId="47" fillId="0" borderId="1" xfId="1" applyFont="1" applyBorder="1" applyAlignment="1">
      <alignment horizontal="center" vertical="center"/>
    </xf>
    <xf numFmtId="3" fontId="48" fillId="0" borderId="1" xfId="6" applyNumberFormat="1" applyFont="1" applyBorder="1" applyAlignment="1">
      <alignment vertical="center" wrapText="1"/>
    </xf>
    <xf numFmtId="3" fontId="48" fillId="2" borderId="1" xfId="6" applyNumberFormat="1" applyFont="1" applyFill="1" applyBorder="1" applyAlignment="1">
      <alignment vertical="center" wrapText="1"/>
    </xf>
    <xf numFmtId="49" fontId="48" fillId="0" borderId="1" xfId="1" applyNumberFormat="1" applyFont="1" applyBorder="1" applyAlignment="1">
      <alignment horizontal="center" vertical="center"/>
    </xf>
    <xf numFmtId="3" fontId="48" fillId="0" borderId="1" xfId="0" applyNumberFormat="1" applyFont="1" applyBorder="1" applyAlignment="1" applyProtection="1">
      <alignment horizontal="right" vertical="center"/>
      <protection locked="0"/>
    </xf>
    <xf numFmtId="0" fontId="45" fillId="0" borderId="0" xfId="1467" applyFont="1" applyAlignment="1">
      <alignment horizontal="center" vertical="center"/>
    </xf>
    <xf numFmtId="0" fontId="45" fillId="0" borderId="0" xfId="1467" applyFont="1" applyAlignment="1">
      <alignment vertical="center" wrapText="1"/>
    </xf>
    <xf numFmtId="3" fontId="45" fillId="0" borderId="0" xfId="1467" applyNumberFormat="1" applyFont="1" applyAlignment="1">
      <alignment horizontal="center" vertical="center"/>
    </xf>
    <xf numFmtId="49" fontId="45" fillId="0" borderId="0" xfId="1467" applyNumberFormat="1" applyFont="1" applyAlignment="1">
      <alignment horizontal="center" vertical="center"/>
    </xf>
    <xf numFmtId="0" fontId="48" fillId="0" borderId="1" xfId="1467" applyFont="1" applyBorder="1" applyAlignment="1">
      <alignment horizontal="center" vertical="center"/>
    </xf>
    <xf numFmtId="3" fontId="48" fillId="0" borderId="1" xfId="0" applyNumberFormat="1" applyFont="1" applyBorder="1" applyAlignment="1">
      <alignment horizontal="center" vertical="center" wrapText="1"/>
    </xf>
    <xf numFmtId="3" fontId="49" fillId="3" borderId="1" xfId="0" applyNumberFormat="1" applyFont="1" applyFill="1" applyBorder="1" applyAlignment="1">
      <alignment horizontal="center" vertical="center" wrapText="1"/>
    </xf>
    <xf numFmtId="166" fontId="49" fillId="3" borderId="1" xfId="12" applyNumberFormat="1" applyFont="1" applyFill="1" applyBorder="1" applyAlignment="1" applyProtection="1">
      <alignment horizontal="center" vertical="center" wrapText="1"/>
    </xf>
    <xf numFmtId="3" fontId="49" fillId="3" borderId="1" xfId="12" applyNumberFormat="1" applyFont="1" applyFill="1" applyBorder="1" applyAlignment="1" applyProtection="1">
      <alignment horizontal="center" vertical="center" wrapText="1"/>
    </xf>
    <xf numFmtId="9" fontId="49" fillId="0" borderId="1" xfId="12" applyFont="1" applyFill="1" applyBorder="1" applyAlignment="1" applyProtection="1">
      <alignment horizontal="center" vertical="center"/>
      <protection locked="0"/>
    </xf>
    <xf numFmtId="9" fontId="52" fillId="28" borderId="1" xfId="12" applyFont="1" applyFill="1" applyBorder="1" applyAlignment="1" applyProtection="1">
      <alignment horizontal="center" vertical="center"/>
    </xf>
    <xf numFmtId="3" fontId="53" fillId="0" borderId="0" xfId="0" applyNumberFormat="1" applyFont="1" applyAlignment="1">
      <alignment vertical="center"/>
    </xf>
    <xf numFmtId="3" fontId="48" fillId="2" borderId="1" xfId="6" applyNumberFormat="1" applyFont="1" applyFill="1" applyBorder="1" applyAlignment="1">
      <alignment horizontal="center" vertical="center" wrapText="1"/>
    </xf>
    <xf numFmtId="0" fontId="48" fillId="0" borderId="0" xfId="0" applyFont="1" applyAlignment="1">
      <alignment vertical="center"/>
    </xf>
    <xf numFmtId="0" fontId="48" fillId="0" borderId="1" xfId="0" applyFont="1" applyBorder="1" applyAlignment="1">
      <alignment horizontal="center" vertical="center"/>
    </xf>
    <xf numFmtId="0" fontId="47" fillId="28" borderId="1" xfId="1" applyFont="1" applyFill="1" applyBorder="1" applyAlignment="1">
      <alignment horizontal="left" vertical="center"/>
    </xf>
    <xf numFmtId="3" fontId="47" fillId="28" borderId="1" xfId="1" applyNumberFormat="1" applyFont="1" applyFill="1" applyBorder="1" applyAlignment="1">
      <alignment horizontal="right" vertical="center"/>
    </xf>
    <xf numFmtId="3" fontId="52" fillId="28" borderId="1" xfId="1" applyNumberFormat="1" applyFont="1" applyFill="1" applyBorder="1" applyAlignment="1">
      <alignment horizontal="center" vertical="center"/>
    </xf>
    <xf numFmtId="49" fontId="47" fillId="28" borderId="1" xfId="1" applyNumberFormat="1" applyFont="1" applyFill="1" applyBorder="1" applyAlignment="1">
      <alignment vertical="center"/>
    </xf>
    <xf numFmtId="3" fontId="48" fillId="2" borderId="1" xfId="6" applyNumberFormat="1" applyFont="1" applyFill="1" applyBorder="1" applyAlignment="1">
      <alignment horizontal="left" vertical="center" wrapText="1"/>
    </xf>
    <xf numFmtId="3" fontId="48" fillId="0" borderId="1" xfId="1" applyNumberFormat="1" applyFont="1" applyBorder="1" applyAlignment="1" applyProtection="1">
      <alignment horizontal="right" vertical="center"/>
      <protection locked="0"/>
    </xf>
    <xf numFmtId="3" fontId="49" fillId="0" borderId="1" xfId="1" applyNumberFormat="1" applyFont="1" applyBorder="1" applyAlignment="1" applyProtection="1">
      <alignment horizontal="center" vertical="center"/>
      <protection locked="0"/>
    </xf>
    <xf numFmtId="0" fontId="48" fillId="0" borderId="0" xfId="0" applyFont="1" applyAlignment="1" applyProtection="1">
      <alignment vertical="center"/>
      <protection locked="0"/>
    </xf>
    <xf numFmtId="0" fontId="48" fillId="0" borderId="1" xfId="0" applyFont="1" applyBorder="1" applyAlignment="1" applyProtection="1">
      <alignment vertical="center"/>
      <protection locked="0"/>
    </xf>
    <xf numFmtId="3" fontId="48" fillId="0" borderId="1" xfId="6" applyNumberFormat="1" applyFont="1" applyBorder="1" applyAlignment="1">
      <alignment horizontal="left" vertical="center" wrapText="1"/>
    </xf>
    <xf numFmtId="3" fontId="48" fillId="2" borderId="1" xfId="1" applyNumberFormat="1" applyFont="1" applyFill="1" applyBorder="1" applyAlignment="1" applyProtection="1">
      <alignment horizontal="right" vertical="center"/>
      <protection locked="0"/>
    </xf>
    <xf numFmtId="3" fontId="49" fillId="2" borderId="1" xfId="1" applyNumberFormat="1" applyFont="1" applyFill="1" applyBorder="1" applyAlignment="1" applyProtection="1">
      <alignment horizontal="center" vertical="center"/>
      <protection locked="0"/>
    </xf>
    <xf numFmtId="9" fontId="49" fillId="2" borderId="1" xfId="12" applyFont="1" applyFill="1" applyBorder="1" applyAlignment="1" applyProtection="1">
      <alignment horizontal="center" vertical="center"/>
      <protection locked="0"/>
    </xf>
    <xf numFmtId="0" fontId="48" fillId="2" borderId="1" xfId="0" applyFont="1" applyFill="1" applyBorder="1" applyAlignment="1">
      <alignment horizontal="left" vertical="center"/>
    </xf>
    <xf numFmtId="0" fontId="47" fillId="0" borderId="0" xfId="1" applyFont="1" applyAlignment="1">
      <alignment horizontal="left" vertical="center"/>
    </xf>
    <xf numFmtId="3" fontId="47" fillId="0" borderId="0" xfId="6" applyNumberFormat="1" applyFont="1" applyAlignment="1">
      <alignment horizontal="left" vertical="center"/>
    </xf>
    <xf numFmtId="3" fontId="47" fillId="0" borderId="0" xfId="1" applyNumberFormat="1" applyFont="1" applyAlignment="1">
      <alignment horizontal="right" vertical="center"/>
    </xf>
    <xf numFmtId="3" fontId="52" fillId="0" borderId="0" xfId="1" applyNumberFormat="1" applyFont="1" applyAlignment="1">
      <alignment horizontal="center" vertical="center"/>
    </xf>
    <xf numFmtId="9" fontId="52" fillId="0" borderId="0" xfId="12" applyFont="1" applyFill="1" applyBorder="1" applyAlignment="1" applyProtection="1">
      <alignment horizontal="center" vertical="center"/>
    </xf>
    <xf numFmtId="49" fontId="47" fillId="0" borderId="0" xfId="1" applyNumberFormat="1" applyFont="1" applyAlignment="1">
      <alignment horizontal="left" vertical="center"/>
    </xf>
    <xf numFmtId="0" fontId="49" fillId="0" borderId="0" xfId="0" applyFont="1" applyAlignment="1" applyProtection="1">
      <alignment horizontal="center" vertical="center"/>
      <protection locked="0"/>
    </xf>
    <xf numFmtId="3" fontId="48" fillId="28" borderId="1" xfId="1" applyNumberFormat="1" applyFont="1" applyFill="1" applyBorder="1" applyAlignment="1">
      <alignment horizontal="right" vertical="center"/>
    </xf>
    <xf numFmtId="3" fontId="47" fillId="28" borderId="1" xfId="6" applyNumberFormat="1" applyFont="1" applyFill="1" applyBorder="1" applyAlignment="1">
      <alignment horizontal="left" vertical="center" wrapText="1"/>
    </xf>
    <xf numFmtId="3" fontId="49" fillId="28" borderId="1" xfId="1" applyNumberFormat="1" applyFont="1" applyFill="1" applyBorder="1" applyAlignment="1">
      <alignment horizontal="center" vertical="center"/>
    </xf>
    <xf numFmtId="9" fontId="49" fillId="28" borderId="1" xfId="12" applyFont="1" applyFill="1" applyBorder="1" applyAlignment="1" applyProtection="1">
      <alignment horizontal="center" vertical="center"/>
    </xf>
    <xf numFmtId="3" fontId="47" fillId="28" borderId="1" xfId="1" applyNumberFormat="1" applyFont="1" applyFill="1" applyBorder="1" applyAlignment="1" applyProtection="1">
      <alignment horizontal="right" vertical="center"/>
      <protection locked="0"/>
    </xf>
    <xf numFmtId="3" fontId="52" fillId="28" borderId="1" xfId="1" applyNumberFormat="1" applyFont="1" applyFill="1" applyBorder="1" applyAlignment="1" applyProtection="1">
      <alignment horizontal="center" vertical="center"/>
      <protection locked="0"/>
    </xf>
    <xf numFmtId="9" fontId="52" fillId="28" borderId="1" xfId="12" applyFont="1" applyFill="1" applyBorder="1" applyAlignment="1" applyProtection="1">
      <alignment horizontal="center" vertical="center"/>
      <protection locked="0"/>
    </xf>
    <xf numFmtId="0" fontId="47" fillId="28" borderId="1" xfId="6" applyFont="1" applyFill="1" applyBorder="1" applyAlignment="1">
      <alignment horizontal="left" vertical="center" wrapText="1"/>
    </xf>
    <xf numFmtId="3" fontId="47" fillId="28" borderId="1" xfId="6" applyNumberFormat="1" applyFont="1" applyFill="1" applyBorder="1" applyAlignment="1">
      <alignment horizontal="left" vertical="center"/>
    </xf>
    <xf numFmtId="0" fontId="48" fillId="0" borderId="0" xfId="1467" applyFont="1" applyAlignment="1">
      <alignment horizontal="left" vertical="top" wrapText="1"/>
    </xf>
    <xf numFmtId="0" fontId="49" fillId="0" borderId="0" xfId="0" applyFont="1" applyAlignment="1">
      <alignment horizontal="center" vertical="center"/>
    </xf>
    <xf numFmtId="0" fontId="48" fillId="2" borderId="1" xfId="6" applyFont="1" applyFill="1" applyBorder="1" applyAlignment="1">
      <alignment horizontal="center" vertical="center"/>
    </xf>
    <xf numFmtId="0" fontId="48" fillId="2" borderId="1" xfId="6" applyFont="1" applyFill="1" applyBorder="1" applyAlignment="1">
      <alignment vertical="center" wrapText="1"/>
    </xf>
    <xf numFmtId="3" fontId="48" fillId="2" borderId="1" xfId="6" applyNumberFormat="1" applyFont="1" applyFill="1" applyBorder="1" applyAlignment="1">
      <alignment horizontal="right" vertical="center" wrapText="1"/>
    </xf>
    <xf numFmtId="3" fontId="49" fillId="2" borderId="1" xfId="6" applyNumberFormat="1" applyFont="1" applyFill="1" applyBorder="1" applyAlignment="1">
      <alignment horizontal="center" vertical="center" wrapText="1"/>
    </xf>
    <xf numFmtId="9" fontId="49" fillId="2" borderId="1" xfId="12" applyFont="1" applyFill="1" applyBorder="1" applyAlignment="1" applyProtection="1">
      <alignment horizontal="center" vertical="center" wrapText="1"/>
    </xf>
    <xf numFmtId="49" fontId="48" fillId="2" borderId="26" xfId="6" applyNumberFormat="1" applyFont="1" applyFill="1" applyBorder="1" applyAlignment="1">
      <alignment horizontal="left" vertical="center" wrapText="1"/>
    </xf>
    <xf numFmtId="0" fontId="48" fillId="2" borderId="1" xfId="6" applyFont="1" applyFill="1" applyBorder="1" applyAlignment="1">
      <alignment horizontal="left" vertical="center" wrapText="1" indent="3"/>
    </xf>
    <xf numFmtId="49" fontId="48" fillId="2" borderId="4" xfId="6" applyNumberFormat="1" applyFont="1" applyFill="1" applyBorder="1" applyAlignment="1">
      <alignment horizontal="center" vertical="center" wrapText="1"/>
    </xf>
    <xf numFmtId="3" fontId="48" fillId="2" borderId="1" xfId="0" applyNumberFormat="1" applyFont="1" applyFill="1" applyBorder="1" applyAlignment="1">
      <alignment horizontal="left" vertical="center" wrapText="1" indent="3"/>
    </xf>
    <xf numFmtId="3" fontId="48" fillId="2" borderId="1" xfId="0" applyNumberFormat="1" applyFont="1" applyFill="1" applyBorder="1" applyAlignment="1">
      <alignment horizontal="left" vertical="center" wrapText="1"/>
    </xf>
    <xf numFmtId="3" fontId="48" fillId="2" borderId="1" xfId="6" applyNumberFormat="1" applyFont="1" applyFill="1" applyBorder="1" applyAlignment="1">
      <alignment horizontal="right" vertical="center"/>
    </xf>
    <xf numFmtId="3" fontId="49" fillId="2" borderId="1" xfId="6" applyNumberFormat="1" applyFont="1" applyFill="1" applyBorder="1" applyAlignment="1">
      <alignment horizontal="center" vertical="center"/>
    </xf>
    <xf numFmtId="9" fontId="49" fillId="2" borderId="1" xfId="12" applyFont="1" applyFill="1" applyBorder="1" applyAlignment="1" applyProtection="1">
      <alignment horizontal="center" vertical="center"/>
    </xf>
    <xf numFmtId="49" fontId="48" fillId="2" borderId="4" xfId="6" applyNumberFormat="1" applyFont="1" applyFill="1" applyBorder="1" applyAlignment="1">
      <alignment horizontal="center" vertical="center"/>
    </xf>
    <xf numFmtId="0" fontId="48" fillId="2" borderId="1" xfId="6" applyFont="1" applyFill="1" applyBorder="1" applyAlignment="1">
      <alignment horizontal="left" vertical="center" wrapText="1"/>
    </xf>
    <xf numFmtId="3" fontId="48" fillId="2" borderId="1" xfId="6" applyNumberFormat="1" applyFont="1" applyFill="1" applyBorder="1" applyAlignment="1" applyProtection="1">
      <alignment horizontal="right" vertical="center"/>
      <protection locked="0"/>
    </xf>
    <xf numFmtId="3" fontId="49" fillId="2" borderId="1" xfId="6" applyNumberFormat="1" applyFont="1" applyFill="1" applyBorder="1" applyAlignment="1" applyProtection="1">
      <alignment horizontal="center" vertical="center"/>
      <protection locked="0"/>
    </xf>
    <xf numFmtId="49" fontId="48" fillId="2" borderId="1" xfId="6" applyNumberFormat="1" applyFont="1" applyFill="1" applyBorder="1" applyAlignment="1" applyProtection="1">
      <alignment horizontal="left" vertical="center"/>
      <protection locked="0"/>
    </xf>
    <xf numFmtId="3" fontId="48" fillId="2" borderId="1" xfId="1" applyNumberFormat="1" applyFont="1" applyFill="1" applyBorder="1" applyAlignment="1">
      <alignment horizontal="left" vertical="center" wrapText="1"/>
    </xf>
    <xf numFmtId="49" fontId="48" fillId="2" borderId="26" xfId="6" applyNumberFormat="1" applyFont="1" applyFill="1" applyBorder="1" applyAlignment="1">
      <alignment horizontal="left" vertical="center"/>
    </xf>
    <xf numFmtId="49" fontId="47" fillId="0" borderId="26" xfId="0" applyNumberFormat="1" applyFont="1" applyBorder="1" applyAlignment="1">
      <alignment horizontal="left" vertical="center"/>
    </xf>
    <xf numFmtId="0" fontId="48" fillId="0" borderId="1" xfId="0" applyFont="1" applyBorder="1" applyAlignment="1">
      <alignment vertical="center" wrapText="1"/>
    </xf>
    <xf numFmtId="3" fontId="49" fillId="0" borderId="1" xfId="0" applyNumberFormat="1" applyFont="1" applyBorder="1" applyAlignment="1" applyProtection="1">
      <alignment horizontal="center" vertical="center"/>
      <protection locked="0"/>
    </xf>
    <xf numFmtId="49" fontId="48" fillId="0" borderId="1" xfId="0" applyNumberFormat="1" applyFont="1" applyBorder="1" applyAlignment="1" applyProtection="1">
      <alignment horizontal="left" vertical="center"/>
      <protection locked="0"/>
    </xf>
    <xf numFmtId="49" fontId="47" fillId="0" borderId="1" xfId="0" applyNumberFormat="1" applyFont="1" applyBorder="1" applyAlignment="1" applyProtection="1">
      <alignment horizontal="left" vertical="center"/>
      <protection locked="0"/>
    </xf>
    <xf numFmtId="3" fontId="48" fillId="0" borderId="1" xfId="0" applyNumberFormat="1" applyFont="1" applyBorder="1" applyAlignment="1">
      <alignment horizontal="right" vertical="center"/>
    </xf>
    <xf numFmtId="3" fontId="49" fillId="0" borderId="1" xfId="0" applyNumberFormat="1" applyFont="1" applyBorder="1" applyAlignment="1">
      <alignment horizontal="center" vertical="center"/>
    </xf>
    <xf numFmtId="9" fontId="49" fillId="0" borderId="1" xfId="12" applyFont="1" applyFill="1" applyBorder="1" applyAlignment="1" applyProtection="1">
      <alignment horizontal="center" vertical="center"/>
    </xf>
    <xf numFmtId="0" fontId="48" fillId="2" borderId="1" xfId="0" applyFont="1" applyFill="1" applyBorder="1" applyAlignment="1">
      <alignment horizontal="center" vertical="center"/>
    </xf>
    <xf numFmtId="0" fontId="48" fillId="2" borderId="1" xfId="0" applyFont="1" applyFill="1" applyBorder="1" applyAlignment="1">
      <alignment horizontal="left" vertical="center" wrapText="1" indent="3"/>
    </xf>
    <xf numFmtId="3" fontId="48" fillId="2" borderId="1" xfId="0" applyNumberFormat="1" applyFont="1" applyFill="1" applyBorder="1" applyAlignment="1">
      <alignment horizontal="right" vertical="center"/>
    </xf>
    <xf numFmtId="3" fontId="49" fillId="2" borderId="1" xfId="0" applyNumberFormat="1" applyFont="1" applyFill="1" applyBorder="1" applyAlignment="1">
      <alignment horizontal="center" vertical="center"/>
    </xf>
    <xf numFmtId="49" fontId="47" fillId="0" borderId="4" xfId="0" applyNumberFormat="1" applyFont="1" applyBorder="1" applyAlignment="1">
      <alignment horizontal="center" vertical="center"/>
    </xf>
    <xf numFmtId="49" fontId="47" fillId="0" borderId="1" xfId="0" applyNumberFormat="1" applyFont="1" applyBorder="1" applyAlignment="1">
      <alignment vertical="center"/>
    </xf>
    <xf numFmtId="0" fontId="48" fillId="0" borderId="1" xfId="6" applyFont="1" applyBorder="1" applyAlignment="1">
      <alignment horizontal="center" vertical="center"/>
    </xf>
    <xf numFmtId="16" fontId="48" fillId="0" borderId="1" xfId="6" applyNumberFormat="1" applyFont="1" applyBorder="1" applyAlignment="1">
      <alignment vertical="center" wrapText="1"/>
    </xf>
    <xf numFmtId="3" fontId="48" fillId="0" borderId="1" xfId="6" applyNumberFormat="1" applyFont="1" applyBorder="1" applyAlignment="1" applyProtection="1">
      <alignment horizontal="right" vertical="center"/>
      <protection locked="0"/>
    </xf>
    <xf numFmtId="3" fontId="49" fillId="0" borderId="1" xfId="6" applyNumberFormat="1" applyFont="1" applyBorder="1" applyAlignment="1" applyProtection="1">
      <alignment horizontal="center" vertical="center"/>
      <protection locked="0"/>
    </xf>
    <xf numFmtId="49" fontId="47" fillId="0" borderId="1" xfId="6" applyNumberFormat="1" applyFont="1" applyBorder="1" applyAlignment="1" applyProtection="1">
      <alignment horizontal="left" vertical="center"/>
      <protection locked="0"/>
    </xf>
    <xf numFmtId="49" fontId="47" fillId="0" borderId="4" xfId="6" applyNumberFormat="1" applyFont="1" applyBorder="1" applyAlignment="1">
      <alignment horizontal="center" vertical="center" wrapText="1"/>
    </xf>
    <xf numFmtId="0" fontId="48" fillId="0" borderId="1" xfId="6" applyFont="1" applyBorder="1" applyAlignment="1">
      <alignment horizontal="center" vertical="center" wrapText="1"/>
    </xf>
    <xf numFmtId="49" fontId="48" fillId="0" borderId="1" xfId="6" applyNumberFormat="1" applyFont="1" applyBorder="1" applyAlignment="1" applyProtection="1">
      <alignment horizontal="left" vertical="center"/>
      <protection locked="0"/>
    </xf>
    <xf numFmtId="0" fontId="47" fillId="0" borderId="1" xfId="6" applyFont="1" applyBorder="1" applyAlignment="1">
      <alignment horizontal="center" vertical="center"/>
    </xf>
    <xf numFmtId="49" fontId="47" fillId="0" borderId="1" xfId="6" applyNumberFormat="1" applyFont="1" applyBorder="1" applyAlignment="1">
      <alignment horizontal="left" vertical="center" wrapText="1"/>
    </xf>
    <xf numFmtId="3" fontId="47" fillId="0" borderId="1" xfId="6" applyNumberFormat="1" applyFont="1" applyBorder="1" applyAlignment="1" applyProtection="1">
      <alignment horizontal="right" vertical="center"/>
      <protection locked="0"/>
    </xf>
    <xf numFmtId="3" fontId="47" fillId="0" borderId="1" xfId="6" applyNumberFormat="1" applyFont="1" applyBorder="1" applyAlignment="1" applyProtection="1">
      <alignment horizontal="right" vertical="center" wrapText="1"/>
      <protection locked="0"/>
    </xf>
    <xf numFmtId="3" fontId="52" fillId="0" borderId="1" xfId="6" applyNumberFormat="1" applyFont="1" applyBorder="1" applyAlignment="1" applyProtection="1">
      <alignment horizontal="center" vertical="center"/>
      <protection locked="0"/>
    </xf>
    <xf numFmtId="9" fontId="52" fillId="0" borderId="1" xfId="12" applyFont="1" applyFill="1" applyBorder="1" applyAlignment="1" applyProtection="1">
      <alignment horizontal="center" vertical="center"/>
      <protection locked="0"/>
    </xf>
    <xf numFmtId="0" fontId="54" fillId="0" borderId="1" xfId="6" applyFont="1" applyBorder="1" applyAlignment="1">
      <alignment horizontal="center" vertical="center" wrapText="1"/>
    </xf>
    <xf numFmtId="49" fontId="54" fillId="0" borderId="1" xfId="6" applyNumberFormat="1" applyFont="1" applyBorder="1" applyAlignment="1">
      <alignment horizontal="left" vertical="center" wrapText="1"/>
    </xf>
    <xf numFmtId="3" fontId="54" fillId="0" borderId="1" xfId="6" applyNumberFormat="1" applyFont="1" applyBorder="1" applyAlignment="1" applyProtection="1">
      <alignment horizontal="right" vertical="center" wrapText="1"/>
      <protection locked="0"/>
    </xf>
    <xf numFmtId="0" fontId="47" fillId="28" borderId="1" xfId="6" applyFont="1" applyFill="1" applyBorder="1" applyAlignment="1">
      <alignment horizontal="center" vertical="center"/>
    </xf>
    <xf numFmtId="3" fontId="47" fillId="28" borderId="1" xfId="6" applyNumberFormat="1" applyFont="1" applyFill="1" applyBorder="1" applyAlignment="1" applyProtection="1">
      <alignment horizontal="right" vertical="center"/>
      <protection locked="0"/>
    </xf>
    <xf numFmtId="3" fontId="47" fillId="28" borderId="1" xfId="6" applyNumberFormat="1" applyFont="1" applyFill="1" applyBorder="1" applyAlignment="1">
      <alignment horizontal="right" vertical="center" wrapText="1"/>
    </xf>
    <xf numFmtId="3" fontId="47" fillId="28" borderId="1" xfId="6" applyNumberFormat="1" applyFont="1" applyFill="1" applyBorder="1" applyAlignment="1">
      <alignment horizontal="right" vertical="center"/>
    </xf>
    <xf numFmtId="3" fontId="52" fillId="28" borderId="1" xfId="6" applyNumberFormat="1" applyFont="1" applyFill="1" applyBorder="1" applyAlignment="1">
      <alignment horizontal="center" vertical="center"/>
    </xf>
    <xf numFmtId="3" fontId="52" fillId="28" borderId="1" xfId="6" applyNumberFormat="1" applyFont="1" applyFill="1" applyBorder="1" applyAlignment="1">
      <alignment horizontal="center" vertical="center" wrapText="1"/>
    </xf>
    <xf numFmtId="9" fontId="52" fillId="28" borderId="1" xfId="12" applyFont="1" applyFill="1" applyBorder="1" applyAlignment="1" applyProtection="1">
      <alignment horizontal="center" vertical="center" wrapText="1"/>
    </xf>
    <xf numFmtId="0" fontId="47" fillId="28" borderId="1" xfId="6" applyFont="1" applyFill="1" applyBorder="1" applyAlignment="1">
      <alignment vertical="center" wrapText="1"/>
    </xf>
    <xf numFmtId="0" fontId="47" fillId="28" borderId="1" xfId="0" applyFont="1" applyFill="1" applyBorder="1" applyAlignment="1">
      <alignment horizontal="center" vertical="center"/>
    </xf>
    <xf numFmtId="0" fontId="47" fillId="28" borderId="1" xfId="0" applyFont="1" applyFill="1" applyBorder="1" applyAlignment="1">
      <alignment vertical="center" wrapText="1"/>
    </xf>
    <xf numFmtId="3" fontId="47" fillId="28" borderId="1" xfId="0" applyNumberFormat="1" applyFont="1" applyFill="1" applyBorder="1" applyAlignment="1">
      <alignment horizontal="right" vertical="center"/>
    </xf>
    <xf numFmtId="3" fontId="52" fillId="28" borderId="1" xfId="0" applyNumberFormat="1" applyFont="1" applyFill="1" applyBorder="1" applyAlignment="1">
      <alignment horizontal="center" vertical="center"/>
    </xf>
    <xf numFmtId="3" fontId="47" fillId="28" borderId="1" xfId="6" applyNumberFormat="1" applyFont="1" applyFill="1" applyBorder="1" applyAlignment="1">
      <alignment vertical="center" wrapText="1"/>
    </xf>
    <xf numFmtId="0" fontId="47" fillId="28" borderId="4" xfId="6" applyFont="1" applyFill="1" applyBorder="1" applyAlignment="1">
      <alignment horizontal="center" vertical="center"/>
    </xf>
    <xf numFmtId="0" fontId="47" fillId="28" borderId="4" xfId="6" applyFont="1" applyFill="1" applyBorder="1" applyAlignment="1">
      <alignment vertical="center" wrapText="1"/>
    </xf>
    <xf numFmtId="3" fontId="47" fillId="28" borderId="4" xfId="6" applyNumberFormat="1" applyFont="1" applyFill="1" applyBorder="1" applyAlignment="1">
      <alignment horizontal="right" vertical="center" wrapText="1"/>
    </xf>
    <xf numFmtId="3" fontId="52" fillId="28" borderId="4" xfId="6" applyNumberFormat="1" applyFont="1" applyFill="1" applyBorder="1" applyAlignment="1">
      <alignment horizontal="center" vertical="center" wrapText="1"/>
    </xf>
    <xf numFmtId="0" fontId="47" fillId="28" borderId="6" xfId="6" applyFont="1" applyFill="1" applyBorder="1" applyAlignment="1">
      <alignment horizontal="center" vertical="center"/>
    </xf>
    <xf numFmtId="16" fontId="47" fillId="28" borderId="6" xfId="6" applyNumberFormat="1" applyFont="1" applyFill="1" applyBorder="1" applyAlignment="1">
      <alignment vertical="center" wrapText="1"/>
    </xf>
    <xf numFmtId="3" fontId="47" fillId="28" borderId="6" xfId="6" applyNumberFormat="1" applyFont="1" applyFill="1" applyBorder="1" applyAlignment="1">
      <alignment horizontal="right" vertical="center" wrapText="1"/>
    </xf>
    <xf numFmtId="3" fontId="52" fillId="28" borderId="6" xfId="6" applyNumberFormat="1" applyFont="1" applyFill="1" applyBorder="1" applyAlignment="1">
      <alignment horizontal="center" vertical="center" wrapText="1"/>
    </xf>
    <xf numFmtId="0" fontId="47" fillId="28" borderId="1" xfId="6" applyFont="1" applyFill="1" applyBorder="1" applyAlignment="1">
      <alignment horizontal="center" vertical="center" wrapText="1"/>
    </xf>
    <xf numFmtId="49" fontId="47" fillId="28" borderId="1" xfId="6" applyNumberFormat="1" applyFont="1" applyFill="1" applyBorder="1" applyAlignment="1">
      <alignment horizontal="left" vertical="center" wrapText="1"/>
    </xf>
    <xf numFmtId="49" fontId="47" fillId="0" borderId="1" xfId="6" applyNumberFormat="1" applyFont="1" applyBorder="1" applyAlignment="1">
      <alignment horizontal="center" vertical="center" wrapText="1"/>
    </xf>
    <xf numFmtId="3" fontId="48" fillId="2" borderId="1" xfId="0" applyNumberFormat="1" applyFont="1" applyFill="1" applyBorder="1" applyAlignment="1" applyProtection="1">
      <alignment horizontal="right" vertical="center" wrapText="1"/>
      <protection locked="0"/>
    </xf>
    <xf numFmtId="3" fontId="49" fillId="2" borderId="1" xfId="0" applyNumberFormat="1" applyFont="1" applyFill="1" applyBorder="1" applyAlignment="1">
      <alignment horizontal="center" vertical="center" wrapText="1"/>
    </xf>
    <xf numFmtId="166" fontId="49" fillId="2" borderId="1" xfId="12" applyNumberFormat="1" applyFont="1" applyFill="1" applyBorder="1" applyAlignment="1" applyProtection="1">
      <alignment horizontal="center" vertical="center" wrapText="1"/>
    </xf>
    <xf numFmtId="3" fontId="48" fillId="0" borderId="1" xfId="0" applyNumberFormat="1" applyFont="1" applyBorder="1" applyAlignment="1">
      <alignment horizontal="left" vertical="center" wrapText="1"/>
    </xf>
    <xf numFmtId="3" fontId="48" fillId="0" borderId="1" xfId="0" applyNumberFormat="1" applyFont="1" applyBorder="1" applyAlignment="1" applyProtection="1">
      <alignment horizontal="right" vertical="center" wrapText="1"/>
      <protection locked="0"/>
    </xf>
    <xf numFmtId="49" fontId="47" fillId="2" borderId="1" xfId="0" applyNumberFormat="1" applyFont="1" applyFill="1" applyBorder="1" applyAlignment="1">
      <alignment horizontal="center" vertical="center"/>
    </xf>
    <xf numFmtId="3" fontId="47" fillId="2" borderId="1" xfId="0" applyNumberFormat="1" applyFont="1" applyFill="1" applyBorder="1" applyAlignment="1">
      <alignment horizontal="left" vertical="center" wrapText="1"/>
    </xf>
    <xf numFmtId="3" fontId="47" fillId="2" borderId="1" xfId="0" applyNumberFormat="1" applyFont="1" applyFill="1" applyBorder="1" applyAlignment="1" applyProtection="1">
      <alignment horizontal="right" vertical="center" wrapText="1"/>
      <protection locked="0"/>
    </xf>
    <xf numFmtId="3" fontId="52" fillId="2" borderId="1" xfId="0" applyNumberFormat="1" applyFont="1" applyFill="1" applyBorder="1" applyAlignment="1">
      <alignment horizontal="center" vertical="center" wrapText="1"/>
    </xf>
    <xf numFmtId="166" fontId="52" fillId="2" borderId="1" xfId="12" applyNumberFormat="1" applyFont="1" applyFill="1" applyBorder="1" applyAlignment="1" applyProtection="1">
      <alignment horizontal="center" vertical="center" wrapText="1"/>
    </xf>
    <xf numFmtId="3" fontId="52" fillId="0" borderId="1" xfId="0" applyNumberFormat="1" applyFont="1" applyBorder="1" applyAlignment="1" applyProtection="1">
      <alignment horizontal="left" vertical="center" wrapText="1"/>
      <protection locked="0"/>
    </xf>
    <xf numFmtId="3" fontId="47" fillId="2" borderId="1" xfId="1" applyNumberFormat="1" applyFont="1" applyFill="1" applyBorder="1" applyAlignment="1">
      <alignment horizontal="left" vertical="center" wrapText="1"/>
    </xf>
    <xf numFmtId="49" fontId="47" fillId="0" borderId="1" xfId="0" applyNumberFormat="1" applyFont="1" applyBorder="1" applyAlignment="1">
      <alignment horizontal="center" vertical="center"/>
    </xf>
    <xf numFmtId="3" fontId="47" fillId="0" borderId="1" xfId="1" applyNumberFormat="1" applyFont="1" applyBorder="1" applyAlignment="1">
      <alignment horizontal="left" vertical="center" wrapText="1"/>
    </xf>
    <xf numFmtId="3" fontId="47" fillId="0" borderId="1" xfId="0" applyNumberFormat="1" applyFont="1" applyBorder="1" applyAlignment="1" applyProtection="1">
      <alignment horizontal="right" vertical="center" wrapText="1"/>
      <protection locked="0"/>
    </xf>
    <xf numFmtId="3" fontId="52" fillId="0" borderId="1" xfId="0" applyNumberFormat="1" applyFont="1" applyBorder="1" applyAlignment="1">
      <alignment horizontal="center" vertical="center" wrapText="1"/>
    </xf>
    <xf numFmtId="166" fontId="52" fillId="0" borderId="1" xfId="12" applyNumberFormat="1" applyFont="1" applyFill="1" applyBorder="1" applyAlignment="1" applyProtection="1">
      <alignment horizontal="center" vertical="center" wrapText="1"/>
    </xf>
    <xf numFmtId="0" fontId="47" fillId="2" borderId="1" xfId="0" applyFont="1" applyFill="1" applyBorder="1" applyAlignment="1">
      <alignment horizontal="center" vertical="center"/>
    </xf>
    <xf numFmtId="0" fontId="47" fillId="2" borderId="1"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1" xfId="0" applyFont="1" applyFill="1" applyBorder="1" applyAlignment="1">
      <alignment vertical="center" wrapText="1"/>
    </xf>
    <xf numFmtId="0" fontId="48" fillId="2" borderId="1" xfId="0" applyFont="1" applyFill="1" applyBorder="1" applyAlignment="1">
      <alignment horizontal="left" vertical="center" wrapText="1"/>
    </xf>
    <xf numFmtId="3" fontId="49" fillId="0" borderId="1" xfId="0" applyNumberFormat="1" applyFont="1" applyBorder="1" applyAlignment="1">
      <alignment horizontal="center" vertical="center" wrapText="1"/>
    </xf>
    <xf numFmtId="166" fontId="49" fillId="0" borderId="1" xfId="12" applyNumberFormat="1" applyFont="1" applyFill="1" applyBorder="1" applyAlignment="1" applyProtection="1">
      <alignment horizontal="center" vertical="center" wrapText="1"/>
    </xf>
    <xf numFmtId="0" fontId="47" fillId="2" borderId="1" xfId="0" applyFont="1" applyFill="1" applyBorder="1" applyAlignment="1">
      <alignment horizontal="left" vertical="center" wrapText="1"/>
    </xf>
    <xf numFmtId="0" fontId="47" fillId="2" borderId="1" xfId="0" applyFont="1" applyFill="1" applyBorder="1" applyAlignment="1" applyProtection="1">
      <alignment horizontal="right" vertical="center" wrapText="1"/>
      <protection locked="0"/>
    </xf>
    <xf numFmtId="3" fontId="49" fillId="0" borderId="1" xfId="0" applyNumberFormat="1" applyFont="1" applyBorder="1" applyAlignment="1" applyProtection="1">
      <alignment horizontal="left" vertical="center" wrapText="1"/>
      <protection locked="0"/>
    </xf>
    <xf numFmtId="0" fontId="47" fillId="2" borderId="1" xfId="0" applyFont="1" applyFill="1" applyBorder="1" applyAlignment="1">
      <alignment horizontal="left" vertical="center"/>
    </xf>
    <xf numFmtId="0" fontId="48" fillId="0" borderId="1" xfId="0" applyFont="1" applyBorder="1" applyAlignment="1">
      <alignment horizontal="left" vertical="center" wrapText="1"/>
    </xf>
    <xf numFmtId="0" fontId="47" fillId="0" borderId="1" xfId="0" applyFont="1" applyBorder="1" applyAlignment="1">
      <alignment horizontal="right" vertical="center" wrapText="1"/>
    </xf>
    <xf numFmtId="0" fontId="52" fillId="0" borderId="1" xfId="0" applyFont="1" applyBorder="1" applyAlignment="1">
      <alignment horizontal="center" vertical="center" wrapText="1"/>
    </xf>
    <xf numFmtId="3" fontId="52" fillId="0" borderId="1" xfId="0" applyNumberFormat="1" applyFont="1" applyBorder="1" applyAlignment="1">
      <alignment vertical="center" wrapText="1"/>
    </xf>
    <xf numFmtId="49" fontId="48" fillId="2" borderId="1" xfId="1" applyNumberFormat="1" applyFont="1" applyFill="1" applyBorder="1" applyAlignment="1">
      <alignment horizontal="center" vertical="center"/>
    </xf>
    <xf numFmtId="3" fontId="48" fillId="0" borderId="1" xfId="0" applyNumberFormat="1" applyFont="1" applyBorder="1" applyAlignment="1">
      <alignment vertical="center"/>
    </xf>
    <xf numFmtId="3" fontId="48" fillId="0" borderId="1" xfId="0" applyNumberFormat="1" applyFont="1" applyBorder="1" applyAlignment="1">
      <alignment vertical="center" wrapText="1"/>
    </xf>
    <xf numFmtId="3" fontId="47" fillId="28" borderId="1" xfId="0" applyNumberFormat="1" applyFont="1" applyFill="1" applyBorder="1" applyAlignment="1">
      <alignment horizontal="right" vertical="center" wrapText="1"/>
    </xf>
    <xf numFmtId="3" fontId="52" fillId="28" borderId="1" xfId="0" applyNumberFormat="1" applyFont="1" applyFill="1" applyBorder="1" applyAlignment="1">
      <alignment horizontal="center" vertical="center" wrapText="1"/>
    </xf>
    <xf numFmtId="166" fontId="52" fillId="28" borderId="1" xfId="12" applyNumberFormat="1" applyFont="1" applyFill="1" applyBorder="1" applyAlignment="1" applyProtection="1">
      <alignment horizontal="center" vertical="center" wrapText="1"/>
    </xf>
    <xf numFmtId="49" fontId="47" fillId="28" borderId="1" xfId="0" applyNumberFormat="1" applyFont="1" applyFill="1" applyBorder="1" applyAlignment="1">
      <alignment horizontal="center" vertical="center"/>
    </xf>
    <xf numFmtId="3" fontId="47" fillId="28" borderId="1" xfId="0" applyNumberFormat="1" applyFont="1" applyFill="1" applyBorder="1" applyAlignment="1">
      <alignment horizontal="left" vertical="center" wrapText="1"/>
    </xf>
    <xf numFmtId="0" fontId="47" fillId="28" borderId="1" xfId="0" applyFont="1" applyFill="1" applyBorder="1" applyAlignment="1">
      <alignment horizontal="right" vertical="center" wrapText="1"/>
    </xf>
    <xf numFmtId="0" fontId="47" fillId="28" borderId="1" xfId="0" applyFont="1" applyFill="1" applyBorder="1" applyAlignment="1">
      <alignment horizontal="left" vertical="center" wrapText="1"/>
    </xf>
    <xf numFmtId="0" fontId="48" fillId="28" borderId="1" xfId="0" applyFont="1" applyFill="1" applyBorder="1" applyAlignment="1">
      <alignment horizontal="center" vertical="center"/>
    </xf>
    <xf numFmtId="3" fontId="52" fillId="0" borderId="4" xfId="0" applyNumberFormat="1" applyFont="1" applyBorder="1" applyAlignment="1">
      <alignment horizontal="center" vertical="center" wrapText="1"/>
    </xf>
    <xf numFmtId="3" fontId="48" fillId="0" borderId="0" xfId="0" applyNumberFormat="1" applyFont="1" applyAlignment="1">
      <alignment horizontal="left" vertical="center" wrapText="1"/>
    </xf>
    <xf numFmtId="3" fontId="55" fillId="28" borderId="1" xfId="0" applyNumberFormat="1" applyFont="1" applyFill="1" applyBorder="1" applyAlignment="1">
      <alignment horizontal="right" vertical="center" wrapText="1"/>
    </xf>
    <xf numFmtId="3" fontId="52" fillId="28" borderId="26" xfId="0" applyNumberFormat="1" applyFont="1" applyFill="1" applyBorder="1" applyAlignment="1">
      <alignment horizontal="left" vertical="center" wrapText="1"/>
    </xf>
    <xf numFmtId="0" fontId="47" fillId="28" borderId="1" xfId="0" applyFont="1" applyFill="1" applyBorder="1" applyAlignment="1">
      <alignment horizontal="center" vertical="center" wrapText="1"/>
    </xf>
    <xf numFmtId="0" fontId="47" fillId="28" borderId="1" xfId="1" applyFont="1" applyFill="1" applyBorder="1" applyAlignment="1">
      <alignment horizontal="center" vertical="center"/>
    </xf>
    <xf numFmtId="49" fontId="47" fillId="28" borderId="1" xfId="1" applyNumberFormat="1" applyFont="1" applyFill="1" applyBorder="1" applyAlignment="1">
      <alignment horizontal="center" vertical="center"/>
    </xf>
    <xf numFmtId="3" fontId="48" fillId="0" borderId="0" xfId="0" applyNumberFormat="1" applyFont="1" applyAlignment="1">
      <alignment vertical="center"/>
    </xf>
    <xf numFmtId="3" fontId="48" fillId="0" borderId="0" xfId="0" applyNumberFormat="1" applyFont="1" applyAlignment="1">
      <alignment horizontal="center" vertical="center"/>
    </xf>
    <xf numFmtId="9" fontId="49" fillId="28" borderId="1" xfId="12" applyFont="1" applyFill="1" applyBorder="1" applyAlignment="1" applyProtection="1">
      <alignment horizontal="center" vertical="center"/>
      <protection locked="0"/>
    </xf>
    <xf numFmtId="0" fontId="49" fillId="0" borderId="0" xfId="0" applyFont="1" applyAlignment="1">
      <alignment vertical="center"/>
    </xf>
    <xf numFmtId="0" fontId="52" fillId="0" borderId="0" xfId="0" applyFont="1" applyAlignment="1">
      <alignment vertical="center"/>
    </xf>
    <xf numFmtId="0" fontId="54" fillId="0" borderId="0" xfId="6" applyFont="1" applyAlignment="1">
      <alignment horizontal="center" vertical="center" wrapText="1"/>
    </xf>
    <xf numFmtId="49" fontId="54" fillId="0" borderId="0" xfId="6" applyNumberFormat="1" applyFont="1" applyAlignment="1">
      <alignment horizontal="left" vertical="center" wrapText="1"/>
    </xf>
    <xf numFmtId="3" fontId="47" fillId="0" borderId="0" xfId="6" applyNumberFormat="1" applyFont="1" applyAlignment="1" applyProtection="1">
      <alignment horizontal="right" vertical="center"/>
      <protection locked="0"/>
    </xf>
    <xf numFmtId="3" fontId="54" fillId="0" borderId="0" xfId="6" applyNumberFormat="1" applyFont="1" applyAlignment="1" applyProtection="1">
      <alignment horizontal="right" vertical="center" wrapText="1"/>
      <protection locked="0"/>
    </xf>
    <xf numFmtId="3" fontId="52" fillId="0" borderId="0" xfId="6" applyNumberFormat="1" applyFont="1" applyAlignment="1" applyProtection="1">
      <alignment horizontal="center" vertical="center"/>
      <protection locked="0"/>
    </xf>
    <xf numFmtId="9" fontId="52" fillId="0" borderId="0" xfId="12" applyFont="1" applyFill="1" applyBorder="1" applyAlignment="1" applyProtection="1">
      <alignment horizontal="center" vertical="center"/>
      <protection locked="0"/>
    </xf>
    <xf numFmtId="49" fontId="47" fillId="0" borderId="0" xfId="6"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3" fontId="48" fillId="0" borderId="1" xfId="1" applyNumberFormat="1" applyFont="1" applyBorder="1" applyAlignment="1">
      <alignment horizontal="center" vertical="center" wrapText="1"/>
    </xf>
    <xf numFmtId="0" fontId="48" fillId="0" borderId="1" xfId="6" applyFont="1" applyBorder="1" applyAlignment="1">
      <alignment horizontal="left" vertical="center" wrapText="1"/>
    </xf>
    <xf numFmtId="3" fontId="48" fillId="0" borderId="1" xfId="6" applyNumberFormat="1" applyFont="1" applyBorder="1" applyAlignment="1">
      <alignment horizontal="right" vertical="center" wrapText="1"/>
    </xf>
    <xf numFmtId="3" fontId="49" fillId="0" borderId="1" xfId="6" applyNumberFormat="1" applyFont="1" applyBorder="1" applyAlignment="1">
      <alignment horizontal="center" vertical="center" wrapText="1"/>
    </xf>
    <xf numFmtId="9" fontId="49" fillId="0" borderId="1" xfId="12" applyFont="1" applyFill="1" applyBorder="1" applyAlignment="1" applyProtection="1">
      <alignment horizontal="center" vertical="center" wrapText="1"/>
    </xf>
    <xf numFmtId="0" fontId="48" fillId="4" borderId="1" xfId="0" applyFont="1" applyFill="1" applyBorder="1" applyAlignment="1">
      <alignment horizontal="center" vertical="center" wrapText="1"/>
    </xf>
    <xf numFmtId="0" fontId="48" fillId="4" borderId="1" xfId="0" applyFont="1" applyFill="1" applyBorder="1" applyAlignment="1">
      <alignment horizontal="left" vertical="center" wrapText="1"/>
    </xf>
    <xf numFmtId="0" fontId="48" fillId="4" borderId="10" xfId="0" applyFont="1" applyFill="1" applyBorder="1" applyAlignment="1">
      <alignment horizontal="center" vertical="center" wrapText="1"/>
    </xf>
    <xf numFmtId="0" fontId="48" fillId="4" borderId="10" xfId="0" applyFont="1" applyFill="1" applyBorder="1" applyAlignment="1">
      <alignment horizontal="left" vertical="center" wrapText="1"/>
    </xf>
    <xf numFmtId="3" fontId="48" fillId="0" borderId="1" xfId="6" applyNumberFormat="1" applyFont="1" applyBorder="1" applyAlignment="1" applyProtection="1">
      <alignment horizontal="right" vertical="center" wrapText="1"/>
      <protection locked="0"/>
    </xf>
    <xf numFmtId="0" fontId="48" fillId="4" borderId="11" xfId="0" applyFont="1" applyFill="1" applyBorder="1" applyAlignment="1">
      <alignment horizontal="center" vertical="center" wrapText="1"/>
    </xf>
    <xf numFmtId="0" fontId="48" fillId="4" borderId="11" xfId="0" applyFont="1" applyFill="1" applyBorder="1" applyAlignment="1">
      <alignment horizontal="left" vertical="center" wrapText="1"/>
    </xf>
    <xf numFmtId="0" fontId="48" fillId="0" borderId="10" xfId="0" applyFont="1" applyBorder="1" applyAlignment="1">
      <alignment horizontal="center" vertical="center" wrapText="1"/>
    </xf>
    <xf numFmtId="0" fontId="48" fillId="0" borderId="10" xfId="0" applyFont="1" applyBorder="1" applyAlignment="1">
      <alignment horizontal="left" vertical="center" wrapText="1"/>
    </xf>
    <xf numFmtId="3" fontId="48" fillId="0" borderId="0" xfId="6" applyNumberFormat="1" applyFont="1" applyAlignment="1">
      <alignment horizontal="left" vertical="center" wrapText="1"/>
    </xf>
    <xf numFmtId="3" fontId="48" fillId="0" borderId="0" xfId="6" applyNumberFormat="1" applyFont="1" applyAlignment="1">
      <alignment horizontal="right" vertical="center" wrapText="1"/>
    </xf>
    <xf numFmtId="3" fontId="48" fillId="0" borderId="0" xfId="0" applyNumberFormat="1" applyFont="1" applyAlignment="1">
      <alignment horizontal="right" vertical="center"/>
    </xf>
    <xf numFmtId="3" fontId="48" fillId="0" borderId="0" xfId="6" applyNumberFormat="1" applyFont="1" applyAlignment="1">
      <alignment horizontal="right" vertical="center"/>
    </xf>
    <xf numFmtId="3" fontId="49" fillId="0" borderId="0" xfId="0" applyNumberFormat="1" applyFont="1" applyAlignment="1">
      <alignment horizontal="center" vertical="center"/>
    </xf>
    <xf numFmtId="49" fontId="47" fillId="28" borderId="5" xfId="6" applyNumberFormat="1" applyFont="1" applyFill="1" applyBorder="1" applyAlignment="1">
      <alignment horizontal="center" vertical="center"/>
    </xf>
    <xf numFmtId="0" fontId="47" fillId="28" borderId="4" xfId="6" applyFont="1" applyFill="1" applyBorder="1" applyAlignment="1">
      <alignment horizontal="center" vertical="center" wrapText="1"/>
    </xf>
    <xf numFmtId="3" fontId="47" fillId="28" borderId="1" xfId="6" applyNumberFormat="1" applyFont="1" applyFill="1" applyBorder="1" applyAlignment="1">
      <alignment horizontal="center" vertical="center"/>
    </xf>
    <xf numFmtId="49" fontId="48" fillId="0" borderId="5" xfId="6" applyNumberFormat="1" applyFont="1" applyBorder="1" applyAlignment="1">
      <alignment horizontal="center" vertical="center"/>
    </xf>
    <xf numFmtId="0" fontId="48" fillId="0" borderId="4" xfId="6" applyFont="1" applyBorder="1" applyAlignment="1">
      <alignment vertical="center" wrapText="1"/>
    </xf>
    <xf numFmtId="3" fontId="48" fillId="0" borderId="4" xfId="6" applyNumberFormat="1" applyFont="1" applyBorder="1" applyAlignment="1">
      <alignment horizontal="right" vertical="center" wrapText="1"/>
    </xf>
    <xf numFmtId="49" fontId="49" fillId="2" borderId="1" xfId="12" applyNumberFormat="1" applyFont="1" applyFill="1" applyBorder="1" applyAlignment="1" applyProtection="1">
      <alignment horizontal="left" vertical="center"/>
    </xf>
    <xf numFmtId="0" fontId="48" fillId="0" borderId="1" xfId="0" applyFont="1" applyBorder="1" applyAlignment="1">
      <alignment horizontal="left" vertical="center" wrapText="1" indent="2" readingOrder="1"/>
    </xf>
    <xf numFmtId="3" fontId="48" fillId="0" borderId="1" xfId="0" applyNumberFormat="1" applyFont="1" applyBorder="1" applyAlignment="1">
      <alignment horizontal="right" vertical="center" wrapText="1"/>
    </xf>
    <xf numFmtId="49" fontId="48" fillId="0" borderId="5" xfId="6" applyNumberFormat="1" applyFont="1" applyBorder="1" applyAlignment="1">
      <alignment horizontal="right" vertical="center"/>
    </xf>
    <xf numFmtId="0" fontId="49" fillId="0" borderId="1" xfId="0" applyFont="1" applyBorder="1" applyAlignment="1">
      <alignment horizontal="left" vertical="center" wrapText="1" indent="4" readingOrder="1"/>
    </xf>
    <xf numFmtId="0" fontId="48" fillId="0" borderId="6" xfId="0" applyFont="1" applyBorder="1" applyAlignment="1">
      <alignment horizontal="left" vertical="center" wrapText="1" readingOrder="1"/>
    </xf>
    <xf numFmtId="3" fontId="48" fillId="0" borderId="2" xfId="0" applyNumberFormat="1" applyFont="1" applyBorder="1" applyAlignment="1">
      <alignment horizontal="right" vertical="center" wrapText="1"/>
    </xf>
    <xf numFmtId="3" fontId="49" fillId="0" borderId="2" xfId="0" applyNumberFormat="1" applyFont="1" applyBorder="1" applyAlignment="1">
      <alignment horizontal="center" vertical="center" wrapText="1"/>
    </xf>
    <xf numFmtId="3" fontId="48" fillId="0" borderId="2" xfId="12" applyNumberFormat="1" applyFont="1" applyFill="1" applyBorder="1" applyAlignment="1" applyProtection="1">
      <alignment horizontal="right" vertical="center" wrapText="1"/>
    </xf>
    <xf numFmtId="3" fontId="49" fillId="0" borderId="2" xfId="12" applyNumberFormat="1" applyFont="1" applyFill="1" applyBorder="1" applyAlignment="1" applyProtection="1">
      <alignment horizontal="center" vertical="center" wrapText="1"/>
    </xf>
    <xf numFmtId="3" fontId="48" fillId="0" borderId="2" xfId="0" applyNumberFormat="1" applyFont="1" applyBorder="1" applyAlignment="1" applyProtection="1">
      <alignment horizontal="right" vertical="center" wrapText="1"/>
      <protection locked="0"/>
    </xf>
    <xf numFmtId="3" fontId="49" fillId="0" borderId="2" xfId="0" applyNumberFormat="1" applyFont="1" applyBorder="1" applyAlignment="1" applyProtection="1">
      <alignment horizontal="center" vertical="center" wrapText="1"/>
      <protection locked="0"/>
    </xf>
    <xf numFmtId="3" fontId="47" fillId="28" borderId="3" xfId="6" applyNumberFormat="1" applyFont="1" applyFill="1" applyBorder="1" applyAlignment="1">
      <alignment horizontal="center" vertical="center"/>
    </xf>
    <xf numFmtId="3" fontId="52" fillId="28" borderId="3" xfId="6" applyNumberFormat="1" applyFont="1" applyFill="1" applyBorder="1" applyAlignment="1">
      <alignment horizontal="center" vertical="center"/>
    </xf>
    <xf numFmtId="49" fontId="48" fillId="2" borderId="1" xfId="6" applyNumberFormat="1" applyFont="1" applyFill="1" applyBorder="1" applyAlignment="1">
      <alignment horizontal="center" vertical="center"/>
    </xf>
    <xf numFmtId="3" fontId="48" fillId="2" borderId="6" xfId="6" applyNumberFormat="1" applyFont="1" applyFill="1" applyBorder="1" applyAlignment="1">
      <alignment vertical="center" wrapText="1"/>
    </xf>
    <xf numFmtId="3" fontId="48" fillId="2" borderId="6" xfId="6" applyNumberFormat="1" applyFont="1" applyFill="1" applyBorder="1" applyAlignment="1" applyProtection="1">
      <alignment horizontal="right" vertical="center" wrapText="1"/>
      <protection locked="0"/>
    </xf>
    <xf numFmtId="3" fontId="48" fillId="2" borderId="1" xfId="0" applyNumberFormat="1" applyFont="1" applyFill="1" applyBorder="1" applyAlignment="1" applyProtection="1">
      <alignment horizontal="right" vertical="center"/>
      <protection locked="0"/>
    </xf>
    <xf numFmtId="3" fontId="49" fillId="2" borderId="1" xfId="0" applyNumberFormat="1" applyFont="1" applyFill="1" applyBorder="1" applyAlignment="1" applyProtection="1">
      <alignment horizontal="center" vertical="center"/>
      <protection locked="0"/>
    </xf>
    <xf numFmtId="3" fontId="48" fillId="2" borderId="1" xfId="6" applyNumberFormat="1" applyFont="1" applyFill="1" applyBorder="1" applyAlignment="1" applyProtection="1">
      <alignment horizontal="right" vertical="center" wrapText="1"/>
      <protection locked="0"/>
    </xf>
    <xf numFmtId="49" fontId="48" fillId="0" borderId="1" xfId="6" applyNumberFormat="1" applyFont="1" applyBorder="1" applyAlignment="1">
      <alignment horizontal="center" vertical="center"/>
    </xf>
    <xf numFmtId="49" fontId="49" fillId="0" borderId="1" xfId="12" applyNumberFormat="1" applyFont="1" applyFill="1" applyBorder="1" applyAlignment="1" applyProtection="1">
      <alignment horizontal="left" vertical="center"/>
    </xf>
    <xf numFmtId="3" fontId="48" fillId="2" borderId="6" xfId="6" applyNumberFormat="1" applyFont="1" applyFill="1" applyBorder="1" applyAlignment="1">
      <alignment horizontal="left" vertical="center" wrapText="1"/>
    </xf>
    <xf numFmtId="49" fontId="48" fillId="2" borderId="1" xfId="6" applyNumberFormat="1" applyFont="1" applyFill="1" applyBorder="1" applyAlignment="1">
      <alignment horizontal="right" vertical="center"/>
    </xf>
    <xf numFmtId="3" fontId="49" fillId="2" borderId="6" xfId="6" applyNumberFormat="1" applyFont="1" applyFill="1" applyBorder="1" applyAlignment="1">
      <alignment horizontal="left" vertical="center" wrapText="1" indent="2"/>
    </xf>
    <xf numFmtId="3" fontId="48" fillId="0" borderId="6" xfId="0" applyNumberFormat="1" applyFont="1" applyBorder="1" applyAlignment="1" applyProtection="1">
      <alignment horizontal="right" vertical="center" wrapText="1"/>
      <protection locked="0"/>
    </xf>
    <xf numFmtId="49" fontId="47" fillId="28" borderId="1" xfId="6" applyNumberFormat="1" applyFont="1" applyFill="1" applyBorder="1" applyAlignment="1">
      <alignment horizontal="center" vertical="center"/>
    </xf>
    <xf numFmtId="3" fontId="49" fillId="2" borderId="1" xfId="6" applyNumberFormat="1" applyFont="1" applyFill="1" applyBorder="1" applyAlignment="1">
      <alignment horizontal="left" vertical="center" wrapText="1" indent="2"/>
    </xf>
    <xf numFmtId="49" fontId="48" fillId="2" borderId="5" xfId="6" applyNumberFormat="1" applyFont="1" applyFill="1" applyBorder="1" applyAlignment="1">
      <alignment horizontal="center" vertical="center"/>
    </xf>
    <xf numFmtId="3" fontId="49" fillId="0" borderId="4" xfId="6" applyNumberFormat="1" applyFont="1" applyBorder="1" applyAlignment="1">
      <alignment horizontal="left" vertical="center" wrapText="1" indent="2"/>
    </xf>
    <xf numFmtId="3" fontId="48" fillId="0" borderId="9" xfId="6" applyNumberFormat="1" applyFont="1" applyBorder="1" applyAlignment="1" applyProtection="1">
      <alignment horizontal="right" vertical="center" wrapText="1"/>
      <protection locked="0"/>
    </xf>
    <xf numFmtId="3" fontId="48" fillId="2" borderId="3" xfId="0" applyNumberFormat="1" applyFont="1" applyFill="1" applyBorder="1" applyAlignment="1" applyProtection="1">
      <alignment horizontal="right" vertical="center"/>
      <protection locked="0"/>
    </xf>
    <xf numFmtId="9" fontId="49" fillId="2" borderId="3" xfId="12" applyFont="1" applyFill="1" applyBorder="1" applyAlignment="1" applyProtection="1">
      <alignment horizontal="center" vertical="center"/>
    </xf>
    <xf numFmtId="0" fontId="48" fillId="0" borderId="1" xfId="0" applyFont="1" applyBorder="1" applyAlignment="1">
      <alignment horizontal="left" vertical="center" wrapText="1" readingOrder="1"/>
    </xf>
    <xf numFmtId="49" fontId="52" fillId="28" borderId="1" xfId="12" applyNumberFormat="1" applyFont="1" applyFill="1" applyBorder="1" applyAlignment="1" applyProtection="1">
      <alignment horizontal="left" vertical="center" wrapText="1"/>
    </xf>
    <xf numFmtId="0" fontId="48" fillId="2" borderId="1" xfId="6" applyFont="1" applyFill="1" applyBorder="1" applyAlignment="1">
      <alignment vertical="center"/>
    </xf>
    <xf numFmtId="3" fontId="55" fillId="28" borderId="1" xfId="6" applyNumberFormat="1" applyFont="1" applyFill="1" applyBorder="1" applyAlignment="1">
      <alignment vertical="center" wrapText="1"/>
    </xf>
    <xf numFmtId="0" fontId="47" fillId="28" borderId="3" xfId="6" applyFont="1" applyFill="1" applyBorder="1" applyAlignment="1">
      <alignment horizontal="center" vertical="center" wrapText="1"/>
    </xf>
    <xf numFmtId="3" fontId="48" fillId="2" borderId="3" xfId="6" applyNumberFormat="1" applyFont="1" applyFill="1" applyBorder="1" applyAlignment="1" applyProtection="1">
      <alignment horizontal="right" vertical="center" wrapText="1"/>
      <protection locked="0"/>
    </xf>
    <xf numFmtId="3" fontId="48" fillId="2" borderId="3" xfId="6" applyNumberFormat="1" applyFont="1" applyFill="1" applyBorder="1" applyAlignment="1" applyProtection="1">
      <alignment horizontal="right" vertical="center"/>
      <protection locked="0"/>
    </xf>
    <xf numFmtId="3" fontId="49" fillId="0" borderId="1" xfId="6" applyNumberFormat="1" applyFont="1" applyBorder="1" applyAlignment="1">
      <alignment horizontal="left" vertical="center" wrapText="1" indent="2"/>
    </xf>
    <xf numFmtId="49" fontId="48" fillId="0" borderId="0" xfId="6" applyNumberFormat="1" applyFont="1" applyAlignment="1">
      <alignment horizontal="center" vertical="center"/>
    </xf>
    <xf numFmtId="0" fontId="48" fillId="0" borderId="0" xfId="0" applyFont="1" applyAlignment="1">
      <alignment vertical="center" wrapText="1"/>
    </xf>
    <xf numFmtId="0" fontId="48" fillId="0" borderId="0" xfId="6" applyFont="1"/>
    <xf numFmtId="0" fontId="58" fillId="0" borderId="0" xfId="0" applyFont="1" applyAlignment="1">
      <alignment horizontal="center" vertical="center" wrapText="1"/>
    </xf>
    <xf numFmtId="0" fontId="58" fillId="0" borderId="0" xfId="0" applyFont="1" applyAlignment="1">
      <alignment horizontal="left" vertical="center" wrapText="1"/>
    </xf>
    <xf numFmtId="3" fontId="48" fillId="0" borderId="0" xfId="6" applyNumberFormat="1" applyFont="1"/>
    <xf numFmtId="0" fontId="48" fillId="0" borderId="0" xfId="6" applyFont="1" applyAlignment="1">
      <alignment horizontal="left" vertical="center" wrapText="1"/>
    </xf>
    <xf numFmtId="0" fontId="48" fillId="0" borderId="0" xfId="6" applyFont="1" applyAlignment="1">
      <alignment horizontal="left" vertical="center"/>
    </xf>
    <xf numFmtId="0" fontId="47" fillId="2" borderId="1" xfId="0" applyFont="1" applyFill="1" applyBorder="1" applyAlignment="1">
      <alignment horizontal="right" vertical="center" wrapText="1"/>
    </xf>
    <xf numFmtId="0" fontId="47" fillId="29" borderId="1" xfId="0" applyFont="1" applyFill="1" applyBorder="1" applyAlignment="1">
      <alignment horizontal="center" vertical="center"/>
    </xf>
    <xf numFmtId="3" fontId="47" fillId="29" borderId="1" xfId="0" applyNumberFormat="1" applyFont="1" applyFill="1" applyBorder="1" applyAlignment="1">
      <alignment horizontal="right" vertical="center" wrapText="1"/>
    </xf>
    <xf numFmtId="3" fontId="52" fillId="29" borderId="1" xfId="0" applyNumberFormat="1" applyFont="1" applyFill="1" applyBorder="1" applyAlignment="1">
      <alignment horizontal="center" vertical="center" wrapText="1"/>
    </xf>
    <xf numFmtId="166" fontId="52" fillId="29" borderId="1" xfId="12" applyNumberFormat="1" applyFont="1" applyFill="1" applyBorder="1" applyAlignment="1" applyProtection="1">
      <alignment horizontal="center" vertical="center" wrapText="1"/>
    </xf>
    <xf numFmtId="3" fontId="52" fillId="29" borderId="26" xfId="0" applyNumberFormat="1" applyFont="1" applyFill="1" applyBorder="1" applyAlignment="1">
      <alignment horizontal="left" vertical="center" wrapText="1"/>
    </xf>
    <xf numFmtId="0" fontId="48" fillId="2" borderId="1" xfId="0" applyFont="1" applyFill="1" applyBorder="1" applyAlignment="1">
      <alignment horizontal="right" vertical="center"/>
    </xf>
    <xf numFmtId="3" fontId="41" fillId="2" borderId="0" xfId="0" applyNumberFormat="1" applyFont="1" applyFill="1" applyAlignment="1">
      <alignment vertical="center"/>
    </xf>
    <xf numFmtId="49" fontId="48" fillId="2" borderId="1" xfId="0" applyNumberFormat="1" applyFont="1" applyFill="1" applyBorder="1" applyAlignment="1">
      <alignment horizontal="right" vertical="center"/>
    </xf>
    <xf numFmtId="3" fontId="40" fillId="2" borderId="0" xfId="0" applyNumberFormat="1" applyFont="1" applyFill="1" applyAlignment="1">
      <alignment vertical="center"/>
    </xf>
    <xf numFmtId="3" fontId="47" fillId="2" borderId="1" xfId="0" applyNumberFormat="1" applyFont="1" applyFill="1" applyBorder="1" applyAlignment="1">
      <alignment horizontal="right" vertical="center" wrapText="1"/>
    </xf>
    <xf numFmtId="3" fontId="47" fillId="29" borderId="1" xfId="0" applyNumberFormat="1" applyFont="1" applyFill="1" applyBorder="1" applyAlignment="1">
      <alignment horizontal="left" vertical="center" wrapText="1"/>
    </xf>
    <xf numFmtId="3" fontId="52" fillId="2" borderId="1" xfId="0" applyNumberFormat="1" applyFont="1" applyFill="1" applyBorder="1" applyAlignment="1" applyProtection="1">
      <alignment horizontal="left" vertical="center" wrapText="1"/>
      <protection locked="0"/>
    </xf>
    <xf numFmtId="3" fontId="43" fillId="2" borderId="0" xfId="0" applyNumberFormat="1" applyFont="1" applyFill="1" applyAlignment="1">
      <alignment vertical="center"/>
    </xf>
    <xf numFmtId="3" fontId="47" fillId="2" borderId="1" xfId="0" applyNumberFormat="1" applyFont="1" applyFill="1" applyBorder="1" applyAlignment="1">
      <alignment horizontal="center" vertical="center" wrapText="1"/>
    </xf>
    <xf numFmtId="166" fontId="47" fillId="2" borderId="1" xfId="12" applyNumberFormat="1" applyFont="1" applyFill="1" applyBorder="1" applyAlignment="1" applyProtection="1">
      <alignment horizontal="center" vertical="center" wrapText="1"/>
    </xf>
    <xf numFmtId="3" fontId="47" fillId="2" borderId="1" xfId="0" applyNumberFormat="1" applyFont="1" applyFill="1" applyBorder="1" applyAlignment="1" applyProtection="1">
      <alignment horizontal="left" vertical="center" wrapText="1"/>
      <protection locked="0"/>
    </xf>
    <xf numFmtId="0" fontId="48" fillId="0" borderId="1" xfId="0" applyFont="1" applyBorder="1" applyAlignment="1">
      <alignment horizontal="right" vertical="center"/>
    </xf>
    <xf numFmtId="0" fontId="47" fillId="2" borderId="1" xfId="0" applyFont="1" applyFill="1" applyBorder="1" applyAlignment="1">
      <alignment horizontal="center" vertical="center" wrapText="1"/>
    </xf>
    <xf numFmtId="3" fontId="52" fillId="2" borderId="4" xfId="0" applyNumberFormat="1" applyFont="1" applyFill="1" applyBorder="1" applyAlignment="1">
      <alignment horizontal="center" vertical="center" wrapText="1"/>
    </xf>
    <xf numFmtId="0" fontId="47" fillId="2" borderId="1" xfId="1" applyFont="1" applyFill="1" applyBorder="1" applyAlignment="1">
      <alignment horizontal="center" vertical="center"/>
    </xf>
    <xf numFmtId="0" fontId="48" fillId="2" borderId="1" xfId="1" applyFont="1" applyFill="1" applyBorder="1" applyAlignment="1">
      <alignment horizontal="right" vertical="center"/>
    </xf>
    <xf numFmtId="49" fontId="47" fillId="29" borderId="1" xfId="0" applyNumberFormat="1" applyFont="1" applyFill="1" applyBorder="1" applyAlignment="1">
      <alignment horizontal="center" vertical="center"/>
    </xf>
    <xf numFmtId="0" fontId="47" fillId="30" borderId="1" xfId="0" applyFont="1" applyFill="1" applyBorder="1" applyAlignment="1">
      <alignment horizontal="center" vertical="center"/>
    </xf>
    <xf numFmtId="3" fontId="47" fillId="30" borderId="1" xfId="0" applyNumberFormat="1" applyFont="1" applyFill="1" applyBorder="1" applyAlignment="1">
      <alignment horizontal="center" vertical="center" wrapText="1"/>
    </xf>
    <xf numFmtId="3" fontId="47" fillId="30" borderId="1" xfId="0" applyNumberFormat="1" applyFont="1" applyFill="1" applyBorder="1" applyAlignment="1">
      <alignment horizontal="right" vertical="center" wrapText="1"/>
    </xf>
    <xf numFmtId="3" fontId="52" fillId="30" borderId="1" xfId="0" applyNumberFormat="1" applyFont="1" applyFill="1" applyBorder="1" applyAlignment="1">
      <alignment horizontal="center" vertical="center" wrapText="1"/>
    </xf>
    <xf numFmtId="166" fontId="52" fillId="30" borderId="1" xfId="12" applyNumberFormat="1" applyFont="1" applyFill="1" applyBorder="1" applyAlignment="1" applyProtection="1">
      <alignment horizontal="center" vertical="center" wrapText="1"/>
    </xf>
    <xf numFmtId="3" fontId="52" fillId="30" borderId="26" xfId="0" applyNumberFormat="1" applyFont="1" applyFill="1" applyBorder="1" applyAlignment="1">
      <alignment horizontal="left" vertical="center" wrapText="1"/>
    </xf>
    <xf numFmtId="0" fontId="47" fillId="31" borderId="1" xfId="0" applyFont="1" applyFill="1" applyBorder="1" applyAlignment="1">
      <alignment horizontal="center" vertical="center"/>
    </xf>
    <xf numFmtId="3" fontId="47" fillId="31" borderId="1" xfId="0" applyNumberFormat="1" applyFont="1" applyFill="1" applyBorder="1" applyAlignment="1">
      <alignment horizontal="center" vertical="center" wrapText="1"/>
    </xf>
    <xf numFmtId="3" fontId="47" fillId="31" borderId="1" xfId="0" applyNumberFormat="1" applyFont="1" applyFill="1" applyBorder="1" applyAlignment="1">
      <alignment horizontal="right" vertical="center" wrapText="1"/>
    </xf>
    <xf numFmtId="3" fontId="52" fillId="31" borderId="1" xfId="0" applyNumberFormat="1" applyFont="1" applyFill="1" applyBorder="1" applyAlignment="1">
      <alignment horizontal="center" vertical="center" wrapText="1"/>
    </xf>
    <xf numFmtId="166" fontId="52" fillId="31" borderId="1" xfId="12" applyNumberFormat="1" applyFont="1" applyFill="1" applyBorder="1" applyAlignment="1" applyProtection="1">
      <alignment horizontal="center" vertical="center" wrapText="1"/>
    </xf>
    <xf numFmtId="3" fontId="52" fillId="31" borderId="26" xfId="0" applyNumberFormat="1" applyFont="1" applyFill="1" applyBorder="1" applyAlignment="1">
      <alignment horizontal="left" vertical="center" wrapText="1"/>
    </xf>
    <xf numFmtId="3" fontId="47" fillId="31" borderId="1" xfId="6" applyNumberFormat="1" applyFont="1" applyFill="1" applyBorder="1" applyAlignment="1">
      <alignment horizontal="center" vertical="center" wrapText="1"/>
    </xf>
    <xf numFmtId="49" fontId="47" fillId="31" borderId="5" xfId="6" applyNumberFormat="1" applyFont="1" applyFill="1" applyBorder="1" applyAlignment="1">
      <alignment horizontal="center" vertical="center"/>
    </xf>
    <xf numFmtId="0" fontId="47" fillId="31" borderId="7" xfId="6" applyFont="1" applyFill="1" applyBorder="1" applyAlignment="1">
      <alignment vertical="center" wrapText="1"/>
    </xf>
    <xf numFmtId="0" fontId="47" fillId="31" borderId="8" xfId="6" applyFont="1" applyFill="1" applyBorder="1" applyAlignment="1">
      <alignment horizontal="center" vertical="center" wrapText="1"/>
    </xf>
    <xf numFmtId="3" fontId="47" fillId="31" borderId="3" xfId="6" applyNumberFormat="1" applyFont="1" applyFill="1" applyBorder="1" applyAlignment="1">
      <alignment horizontal="center" vertical="center"/>
    </xf>
    <xf numFmtId="3" fontId="47" fillId="31" borderId="1" xfId="6" applyNumberFormat="1" applyFont="1" applyFill="1" applyBorder="1" applyAlignment="1">
      <alignment horizontal="center" vertical="center"/>
    </xf>
    <xf numFmtId="3" fontId="52" fillId="31" borderId="3" xfId="6" applyNumberFormat="1" applyFont="1" applyFill="1" applyBorder="1" applyAlignment="1">
      <alignment horizontal="center" vertical="center"/>
    </xf>
    <xf numFmtId="0" fontId="47" fillId="31" borderId="6" xfId="0" applyFont="1" applyFill="1" applyBorder="1" applyAlignment="1">
      <alignment horizontal="left" vertical="center" wrapText="1" readingOrder="1"/>
    </xf>
    <xf numFmtId="0" fontId="47" fillId="31" borderId="2" xfId="0" applyFont="1" applyFill="1" applyBorder="1" applyAlignment="1">
      <alignment horizontal="center" vertical="center" wrapText="1"/>
    </xf>
    <xf numFmtId="49" fontId="47" fillId="31" borderId="1" xfId="6" applyNumberFormat="1" applyFont="1" applyFill="1" applyBorder="1" applyAlignment="1">
      <alignment horizontal="center" vertical="center"/>
    </xf>
    <xf numFmtId="3" fontId="47" fillId="31" borderId="1" xfId="6" applyNumberFormat="1" applyFont="1" applyFill="1" applyBorder="1" applyAlignment="1">
      <alignment vertical="center" wrapText="1"/>
    </xf>
    <xf numFmtId="3" fontId="47" fillId="31" borderId="3" xfId="6" applyNumberFormat="1" applyFont="1" applyFill="1" applyBorder="1" applyAlignment="1">
      <alignment horizontal="center" vertical="center" wrapText="1"/>
    </xf>
    <xf numFmtId="0" fontId="47" fillId="31" borderId="4" xfId="6" applyFont="1" applyFill="1" applyBorder="1" applyAlignment="1">
      <alignment vertical="center" wrapText="1"/>
    </xf>
    <xf numFmtId="0" fontId="47" fillId="31" borderId="9" xfId="6" applyFont="1" applyFill="1" applyBorder="1" applyAlignment="1">
      <alignment horizontal="center" vertical="center" wrapText="1"/>
    </xf>
    <xf numFmtId="0" fontId="47" fillId="31" borderId="1" xfId="0" applyFont="1" applyFill="1" applyBorder="1" applyAlignment="1">
      <alignment horizontal="left" vertical="center" wrapText="1" readingOrder="1"/>
    </xf>
    <xf numFmtId="0" fontId="47" fillId="31" borderId="3" xfId="0" applyFont="1" applyFill="1" applyBorder="1" applyAlignment="1">
      <alignment horizontal="center" vertical="center" wrapText="1"/>
    </xf>
    <xf numFmtId="3" fontId="47" fillId="31" borderId="1" xfId="6" applyNumberFormat="1" applyFont="1" applyFill="1" applyBorder="1" applyAlignment="1">
      <alignment horizontal="left" vertical="center" wrapText="1"/>
    </xf>
    <xf numFmtId="3" fontId="47" fillId="31" borderId="1" xfId="0" applyNumberFormat="1" applyFont="1" applyFill="1" applyBorder="1" applyAlignment="1">
      <alignment horizontal="center" vertical="center"/>
    </xf>
    <xf numFmtId="3" fontId="52" fillId="31" borderId="1" xfId="0" applyNumberFormat="1" applyFont="1" applyFill="1" applyBorder="1" applyAlignment="1">
      <alignment horizontal="center" vertical="center"/>
    </xf>
    <xf numFmtId="0" fontId="47" fillId="31" borderId="5" xfId="6" applyFont="1" applyFill="1" applyBorder="1" applyAlignment="1">
      <alignment horizontal="center" vertical="center"/>
    </xf>
    <xf numFmtId="0" fontId="49" fillId="31" borderId="0" xfId="0" applyFont="1" applyFill="1" applyAlignment="1">
      <alignment horizontal="center" vertical="center"/>
    </xf>
    <xf numFmtId="49" fontId="48" fillId="31" borderId="0" xfId="0" applyNumberFormat="1" applyFont="1" applyFill="1" applyAlignment="1">
      <alignment horizontal="left" vertical="center"/>
    </xf>
    <xf numFmtId="0" fontId="48" fillId="31" borderId="0" xfId="0" applyFont="1" applyFill="1" applyAlignment="1">
      <alignment vertical="center"/>
    </xf>
    <xf numFmtId="9" fontId="49" fillId="31" borderId="0" xfId="12" applyFont="1" applyFill="1" applyAlignment="1" applyProtection="1">
      <alignment horizontal="center" vertical="center"/>
    </xf>
    <xf numFmtId="49" fontId="47" fillId="28" borderId="26" xfId="6" applyNumberFormat="1" applyFont="1" applyFill="1" applyBorder="1" applyAlignment="1">
      <alignment horizontal="left" vertical="center" wrapText="1"/>
    </xf>
    <xf numFmtId="49" fontId="47" fillId="28" borderId="26" xfId="0" applyNumberFormat="1" applyFont="1" applyFill="1" applyBorder="1" applyAlignment="1">
      <alignment horizontal="left" vertical="center"/>
    </xf>
    <xf numFmtId="49" fontId="47" fillId="28" borderId="26" xfId="6" applyNumberFormat="1" applyFont="1" applyFill="1" applyBorder="1" applyAlignment="1">
      <alignment horizontal="left" vertical="center"/>
    </xf>
    <xf numFmtId="3" fontId="52" fillId="28" borderId="26" xfId="0" applyNumberFormat="1" applyFont="1" applyFill="1" applyBorder="1" applyAlignment="1">
      <alignment vertical="center" wrapText="1"/>
    </xf>
    <xf numFmtId="49" fontId="47" fillId="28" borderId="26" xfId="1" applyNumberFormat="1" applyFont="1" applyFill="1" applyBorder="1" applyAlignment="1">
      <alignment horizontal="left" vertical="center"/>
    </xf>
    <xf numFmtId="0" fontId="47" fillId="31" borderId="1" xfId="1" applyFont="1" applyFill="1" applyBorder="1" applyAlignment="1">
      <alignment horizontal="left" vertical="center"/>
    </xf>
    <xf numFmtId="3" fontId="47" fillId="31" borderId="1" xfId="1" applyNumberFormat="1" applyFont="1" applyFill="1" applyBorder="1" applyAlignment="1">
      <alignment horizontal="right" vertical="center"/>
    </xf>
    <xf numFmtId="3" fontId="52" fillId="31" borderId="1" xfId="1" applyNumberFormat="1" applyFont="1" applyFill="1" applyBorder="1" applyAlignment="1">
      <alignment horizontal="center" vertical="center"/>
    </xf>
    <xf numFmtId="9" fontId="52" fillId="31" borderId="1" xfId="12" applyFont="1" applyFill="1" applyBorder="1" applyAlignment="1" applyProtection="1">
      <alignment horizontal="center" vertical="center"/>
    </xf>
    <xf numFmtId="49" fontId="47" fillId="31" borderId="26" xfId="1" applyNumberFormat="1" applyFont="1" applyFill="1" applyBorder="1" applyAlignment="1">
      <alignment horizontal="left" vertical="center"/>
    </xf>
    <xf numFmtId="3" fontId="47" fillId="28" borderId="1" xfId="0" applyNumberFormat="1" applyFont="1" applyFill="1" applyBorder="1" applyAlignment="1" applyProtection="1">
      <alignment horizontal="right" vertical="center" wrapText="1"/>
      <protection locked="0"/>
    </xf>
    <xf numFmtId="3" fontId="52" fillId="28" borderId="1" xfId="0" applyNumberFormat="1" applyFont="1" applyFill="1" applyBorder="1" applyAlignment="1">
      <alignment vertical="center" wrapText="1"/>
    </xf>
    <xf numFmtId="3" fontId="49" fillId="28" borderId="1" xfId="1" applyNumberFormat="1" applyFont="1" applyFill="1" applyBorder="1" applyAlignment="1" applyProtection="1">
      <alignment horizontal="center" vertical="center"/>
      <protection locked="0"/>
    </xf>
    <xf numFmtId="49" fontId="47" fillId="28" borderId="6" xfId="1" applyNumberFormat="1" applyFont="1" applyFill="1" applyBorder="1" applyAlignment="1">
      <alignment horizontal="center" vertical="center"/>
    </xf>
    <xf numFmtId="3" fontId="48" fillId="2" borderId="1" xfId="6" applyNumberFormat="1" applyFont="1" applyFill="1" applyBorder="1" applyAlignment="1">
      <alignment horizontal="left" vertical="top" wrapText="1"/>
    </xf>
    <xf numFmtId="3" fontId="47" fillId="30" borderId="1" xfId="6" applyNumberFormat="1" applyFont="1" applyFill="1" applyBorder="1" applyAlignment="1">
      <alignment horizontal="left" vertical="center" wrapText="1"/>
    </xf>
    <xf numFmtId="3" fontId="47" fillId="30" borderId="1" xfId="1" applyNumberFormat="1" applyFont="1" applyFill="1" applyBorder="1" applyAlignment="1">
      <alignment horizontal="right" vertical="center"/>
    </xf>
    <xf numFmtId="3" fontId="52" fillId="30" borderId="1" xfId="1" applyNumberFormat="1" applyFont="1" applyFill="1" applyBorder="1" applyAlignment="1">
      <alignment horizontal="center" vertical="center"/>
    </xf>
    <xf numFmtId="9" fontId="52" fillId="30" borderId="1" xfId="12" applyFont="1" applyFill="1" applyBorder="1" applyAlignment="1" applyProtection="1">
      <alignment horizontal="center" vertical="center"/>
    </xf>
    <xf numFmtId="49" fontId="47" fillId="30" borderId="26" xfId="1" applyNumberFormat="1" applyFont="1" applyFill="1" applyBorder="1" applyAlignment="1">
      <alignment horizontal="left" vertical="center"/>
    </xf>
    <xf numFmtId="0" fontId="47" fillId="0" borderId="0" xfId="0" applyFont="1" applyAlignment="1">
      <alignment vertical="center"/>
    </xf>
    <xf numFmtId="0" fontId="47" fillId="0" borderId="0" xfId="0" applyFont="1" applyAlignment="1" applyProtection="1">
      <alignment vertical="center"/>
      <protection locked="0"/>
    </xf>
    <xf numFmtId="0" fontId="47" fillId="30" borderId="1" xfId="1" applyFont="1" applyFill="1" applyBorder="1" applyAlignment="1">
      <alignment horizontal="center" vertical="center"/>
    </xf>
    <xf numFmtId="0" fontId="47" fillId="31" borderId="1" xfId="1" applyFont="1" applyFill="1" applyBorder="1" applyAlignment="1">
      <alignment horizontal="center" vertical="center"/>
    </xf>
    <xf numFmtId="49" fontId="47" fillId="31" borderId="1" xfId="1" applyNumberFormat="1" applyFont="1" applyFill="1" applyBorder="1" applyAlignment="1">
      <alignment vertical="center"/>
    </xf>
    <xf numFmtId="49" fontId="47" fillId="28" borderId="4" xfId="1" applyNumberFormat="1" applyFont="1" applyFill="1" applyBorder="1" applyAlignment="1">
      <alignment vertical="center"/>
    </xf>
    <xf numFmtId="0" fontId="47" fillId="28" borderId="1" xfId="0" applyFont="1" applyFill="1" applyBorder="1" applyAlignment="1" applyProtection="1">
      <alignment vertical="center"/>
      <protection locked="0"/>
    </xf>
    <xf numFmtId="3" fontId="47" fillId="31" borderId="1" xfId="1" applyNumberFormat="1" applyFont="1" applyFill="1" applyBorder="1" applyAlignment="1" applyProtection="1">
      <alignment horizontal="right" vertical="center"/>
      <protection locked="0"/>
    </xf>
    <xf numFmtId="3" fontId="52" fillId="31" borderId="1" xfId="1" applyNumberFormat="1" applyFont="1" applyFill="1" applyBorder="1" applyAlignment="1" applyProtection="1">
      <alignment horizontal="center" vertical="center"/>
      <protection locked="0"/>
    </xf>
    <xf numFmtId="9" fontId="52" fillId="31" borderId="1" xfId="12" applyFont="1" applyFill="1" applyBorder="1" applyAlignment="1" applyProtection="1">
      <alignment horizontal="center" vertical="center"/>
      <protection locked="0"/>
    </xf>
    <xf numFmtId="49" fontId="47" fillId="31" borderId="4" xfId="1" applyNumberFormat="1" applyFont="1" applyFill="1" applyBorder="1" applyAlignment="1" applyProtection="1">
      <alignment horizontal="center" vertical="center"/>
      <protection locked="0"/>
    </xf>
    <xf numFmtId="9" fontId="52" fillId="28" borderId="5" xfId="12" applyFont="1" applyFill="1" applyBorder="1" applyAlignment="1" applyProtection="1">
      <alignment horizontal="center" vertical="center"/>
    </xf>
    <xf numFmtId="3" fontId="47" fillId="28" borderId="3" xfId="1" applyNumberFormat="1" applyFont="1" applyFill="1" applyBorder="1" applyAlignment="1">
      <alignment horizontal="right" vertical="center"/>
    </xf>
    <xf numFmtId="3" fontId="47" fillId="28" borderId="3" xfId="1" applyNumberFormat="1" applyFont="1" applyFill="1" applyBorder="1" applyAlignment="1" applyProtection="1">
      <alignment horizontal="right" vertical="center"/>
      <protection locked="0"/>
    </xf>
    <xf numFmtId="49" fontId="48" fillId="28" borderId="1" xfId="1" applyNumberFormat="1" applyFont="1" applyFill="1" applyBorder="1" applyAlignment="1">
      <alignment horizontal="center" vertical="center"/>
    </xf>
    <xf numFmtId="49" fontId="47" fillId="0" borderId="1" xfId="1" applyNumberFormat="1" applyFont="1" applyBorder="1" applyAlignment="1">
      <alignment horizontal="center" vertical="center"/>
    </xf>
    <xf numFmtId="1" fontId="47" fillId="31" borderId="1" xfId="0" applyNumberFormat="1" applyFont="1" applyFill="1" applyBorder="1" applyAlignment="1">
      <alignment horizontal="right" vertical="center" wrapText="1"/>
    </xf>
    <xf numFmtId="1" fontId="47" fillId="29" borderId="1" xfId="0" applyNumberFormat="1" applyFont="1" applyFill="1" applyBorder="1" applyAlignment="1">
      <alignment horizontal="right" vertical="center" wrapText="1"/>
    </xf>
    <xf numFmtId="1" fontId="47" fillId="28" borderId="1" xfId="0" applyNumberFormat="1" applyFont="1" applyFill="1" applyBorder="1" applyAlignment="1">
      <alignment horizontal="right" vertical="center" wrapText="1"/>
    </xf>
    <xf numFmtId="1" fontId="48" fillId="2" borderId="1" xfId="0" applyNumberFormat="1" applyFont="1" applyFill="1" applyBorder="1" applyAlignment="1" applyProtection="1">
      <alignment horizontal="right" vertical="center" wrapText="1"/>
      <protection locked="0"/>
    </xf>
    <xf numFmtId="1" fontId="48" fillId="0" borderId="1" xfId="0" applyNumberFormat="1" applyFont="1" applyBorder="1" applyAlignment="1" applyProtection="1">
      <alignment horizontal="right" vertical="center" wrapText="1"/>
      <protection locked="0"/>
    </xf>
    <xf numFmtId="1" fontId="47" fillId="2" borderId="1" xfId="0" applyNumberFormat="1" applyFont="1" applyFill="1" applyBorder="1" applyAlignment="1" applyProtection="1">
      <alignment horizontal="right" vertical="center" wrapText="1"/>
      <protection locked="0"/>
    </xf>
    <xf numFmtId="1" fontId="47" fillId="2" borderId="1" xfId="1" applyNumberFormat="1" applyFont="1" applyFill="1" applyBorder="1" applyAlignment="1" applyProtection="1">
      <alignment horizontal="right" vertical="center" wrapText="1"/>
      <protection locked="0"/>
    </xf>
    <xf numFmtId="1" fontId="47" fillId="0" borderId="1" xfId="1" applyNumberFormat="1" applyFont="1" applyBorder="1" applyAlignment="1" applyProtection="1">
      <alignment horizontal="right" vertical="center" wrapText="1"/>
      <protection locked="0"/>
    </xf>
    <xf numFmtId="1" fontId="47" fillId="0" borderId="1" xfId="0" applyNumberFormat="1" applyFont="1" applyBorder="1" applyAlignment="1" applyProtection="1">
      <alignment horizontal="right" vertical="center" wrapText="1"/>
      <protection locked="0"/>
    </xf>
    <xf numFmtId="1" fontId="48" fillId="2" borderId="1" xfId="0" applyNumberFormat="1" applyFont="1" applyFill="1" applyBorder="1" applyAlignment="1">
      <alignment horizontal="right" vertical="center" wrapText="1"/>
    </xf>
    <xf numFmtId="1" fontId="47" fillId="2" borderId="1" xfId="0" applyNumberFormat="1" applyFont="1" applyFill="1" applyBorder="1" applyAlignment="1">
      <alignment horizontal="right" vertical="center" wrapText="1"/>
    </xf>
    <xf numFmtId="1" fontId="47" fillId="0" borderId="1" xfId="0" applyNumberFormat="1" applyFont="1" applyBorder="1" applyAlignment="1">
      <alignment horizontal="right" vertical="center" wrapText="1"/>
    </xf>
    <xf numFmtId="1" fontId="47" fillId="28" borderId="1" xfId="0" applyNumberFormat="1" applyFont="1" applyFill="1" applyBorder="1" applyAlignment="1" applyProtection="1">
      <alignment horizontal="right" vertical="center" wrapText="1"/>
      <protection locked="0"/>
    </xf>
    <xf numFmtId="1" fontId="55" fillId="28" borderId="1" xfId="0" applyNumberFormat="1" applyFont="1" applyFill="1" applyBorder="1" applyAlignment="1">
      <alignment horizontal="right" vertical="center" wrapText="1"/>
    </xf>
    <xf numFmtId="1" fontId="47" fillId="30" borderId="1" xfId="0" applyNumberFormat="1" applyFont="1" applyFill="1" applyBorder="1" applyAlignment="1">
      <alignment horizontal="right" vertical="center" wrapText="1"/>
    </xf>
    <xf numFmtId="0" fontId="34" fillId="0" borderId="1" xfId="1467" applyFont="1" applyBorder="1" applyAlignment="1">
      <alignment horizontal="center" vertical="center"/>
    </xf>
    <xf numFmtId="3" fontId="34" fillId="0" borderId="1" xfId="0" applyNumberFormat="1" applyFont="1" applyBorder="1" applyAlignment="1">
      <alignment horizontal="center" vertical="center" wrapText="1"/>
    </xf>
    <xf numFmtId="3" fontId="60" fillId="3" borderId="1" xfId="0" applyNumberFormat="1" applyFont="1" applyFill="1" applyBorder="1" applyAlignment="1">
      <alignment horizontal="center" vertical="center" wrapText="1"/>
    </xf>
    <xf numFmtId="166" fontId="60" fillId="3" borderId="1" xfId="12" applyNumberFormat="1" applyFont="1" applyFill="1" applyBorder="1" applyAlignment="1" applyProtection="1">
      <alignment horizontal="center" vertical="center" wrapText="1"/>
    </xf>
    <xf numFmtId="3" fontId="60" fillId="3" borderId="1" xfId="12" applyNumberFormat="1" applyFont="1" applyFill="1" applyBorder="1" applyAlignment="1" applyProtection="1">
      <alignment horizontal="center" vertical="center" wrapText="1"/>
    </xf>
    <xf numFmtId="0" fontId="34" fillId="0" borderId="1" xfId="1467" applyFont="1" applyBorder="1" applyAlignment="1">
      <alignment vertical="center" wrapText="1"/>
    </xf>
    <xf numFmtId="3" fontId="34" fillId="0" borderId="1" xfId="1467" applyNumberFormat="1" applyFont="1" applyBorder="1" applyAlignment="1" applyProtection="1">
      <alignment horizontal="center" vertical="center"/>
      <protection locked="0"/>
    </xf>
    <xf numFmtId="168" fontId="34" fillId="0" borderId="1" xfId="1467" applyNumberFormat="1" applyFont="1" applyBorder="1" applyAlignment="1" applyProtection="1">
      <alignment horizontal="center" vertical="center"/>
      <protection locked="0"/>
    </xf>
    <xf numFmtId="168" fontId="34" fillId="0" borderId="1" xfId="0" applyNumberFormat="1" applyFont="1" applyBorder="1" applyAlignment="1">
      <alignment horizontal="center" vertical="center" wrapText="1"/>
    </xf>
    <xf numFmtId="168" fontId="60" fillId="0" borderId="1" xfId="1467" applyNumberFormat="1" applyFont="1" applyBorder="1" applyAlignment="1" applyProtection="1">
      <alignment horizontal="center" vertical="center"/>
      <protection locked="0"/>
    </xf>
    <xf numFmtId="168" fontId="60" fillId="0" borderId="1" xfId="12" applyNumberFormat="1" applyFont="1" applyFill="1" applyBorder="1" applyAlignment="1" applyProtection="1">
      <alignment horizontal="center" vertical="center"/>
      <protection locked="0"/>
    </xf>
    <xf numFmtId="3" fontId="60" fillId="0" borderId="1" xfId="1467" applyNumberFormat="1" applyFont="1" applyBorder="1" applyAlignment="1" applyProtection="1">
      <alignment horizontal="center" vertical="center"/>
      <protection locked="0"/>
    </xf>
    <xf numFmtId="9" fontId="60" fillId="0" borderId="1" xfId="12" applyFont="1" applyFill="1" applyBorder="1" applyAlignment="1" applyProtection="1">
      <alignment horizontal="center" vertical="center"/>
      <protection locked="0"/>
    </xf>
    <xf numFmtId="49" fontId="34" fillId="0" borderId="1" xfId="1467" applyNumberFormat="1" applyFont="1" applyBorder="1" applyAlignment="1" applyProtection="1">
      <alignment horizontal="center" vertical="center"/>
      <protection locked="0"/>
    </xf>
    <xf numFmtId="0" fontId="59" fillId="28" borderId="1" xfId="1467" applyFont="1" applyFill="1" applyBorder="1" applyAlignment="1">
      <alignment horizontal="center" vertical="center"/>
    </xf>
    <xf numFmtId="0" fontId="59" fillId="28" borderId="1" xfId="1467" applyFont="1" applyFill="1" applyBorder="1" applyAlignment="1">
      <alignment vertical="center" wrapText="1"/>
    </xf>
    <xf numFmtId="3" fontId="59" fillId="28" borderId="1" xfId="1467" applyNumberFormat="1" applyFont="1" applyFill="1" applyBorder="1" applyAlignment="1">
      <alignment horizontal="center" vertical="center"/>
    </xf>
    <xf numFmtId="3" fontId="61" fillId="28" borderId="1" xfId="1467" applyNumberFormat="1" applyFont="1" applyFill="1" applyBorder="1" applyAlignment="1">
      <alignment horizontal="center" vertical="center"/>
    </xf>
    <xf numFmtId="9" fontId="61" fillId="28" borderId="1" xfId="12" applyFont="1" applyFill="1" applyBorder="1" applyAlignment="1" applyProtection="1">
      <alignment horizontal="center" vertical="center"/>
    </xf>
    <xf numFmtId="49" fontId="59" fillId="28" borderId="1" xfId="1467" applyNumberFormat="1" applyFont="1" applyFill="1" applyBorder="1" applyAlignment="1">
      <alignment horizontal="center" vertical="center"/>
    </xf>
    <xf numFmtId="3" fontId="59" fillId="28" borderId="1" xfId="1467" applyNumberFormat="1" applyFont="1" applyFill="1" applyBorder="1" applyAlignment="1" applyProtection="1">
      <alignment horizontal="center" vertical="center"/>
      <protection locked="0"/>
    </xf>
    <xf numFmtId="9" fontId="60" fillId="28" borderId="1" xfId="12" applyFont="1" applyFill="1" applyBorder="1" applyAlignment="1" applyProtection="1">
      <alignment horizontal="center" vertical="center"/>
      <protection locked="0"/>
    </xf>
    <xf numFmtId="3" fontId="60" fillId="28" borderId="1" xfId="1467" applyNumberFormat="1" applyFont="1" applyFill="1" applyBorder="1" applyAlignment="1" applyProtection="1">
      <alignment horizontal="center" vertical="center"/>
      <protection locked="0"/>
    </xf>
    <xf numFmtId="49" fontId="34" fillId="28" borderId="1" xfId="1467" applyNumberFormat="1" applyFont="1" applyFill="1" applyBorder="1" applyAlignment="1" applyProtection="1">
      <alignment horizontal="center" vertical="center"/>
      <protection locked="0"/>
    </xf>
    <xf numFmtId="0" fontId="59" fillId="31" borderId="1" xfId="1467" applyFont="1" applyFill="1" applyBorder="1" applyAlignment="1">
      <alignment horizontal="center" vertical="center"/>
    </xf>
    <xf numFmtId="0" fontId="59" fillId="31" borderId="1" xfId="1467" applyFont="1" applyFill="1" applyBorder="1" applyAlignment="1">
      <alignment vertical="center" wrapText="1"/>
    </xf>
    <xf numFmtId="3" fontId="59" fillId="31" borderId="1" xfId="1467" applyNumberFormat="1" applyFont="1" applyFill="1" applyBorder="1" applyAlignment="1">
      <alignment horizontal="center" vertical="center"/>
    </xf>
    <xf numFmtId="9" fontId="60" fillId="31" borderId="1" xfId="12" applyFont="1" applyFill="1" applyBorder="1" applyAlignment="1" applyProtection="1">
      <alignment horizontal="center" vertical="center"/>
      <protection locked="0"/>
    </xf>
    <xf numFmtId="0" fontId="34" fillId="2" borderId="1" xfId="1467" applyFont="1" applyFill="1" applyBorder="1" applyAlignment="1">
      <alignment horizontal="center" vertical="center"/>
    </xf>
    <xf numFmtId="0" fontId="34" fillId="2" borderId="1" xfId="1467" applyFont="1" applyFill="1" applyBorder="1" applyAlignment="1">
      <alignment vertical="center" wrapText="1"/>
    </xf>
    <xf numFmtId="3" fontId="59" fillId="2" borderId="1" xfId="1467" applyNumberFormat="1" applyFont="1" applyFill="1" applyBorder="1" applyAlignment="1">
      <alignment horizontal="center" vertical="center"/>
    </xf>
    <xf numFmtId="3" fontId="61" fillId="2" borderId="1" xfId="1467" applyNumberFormat="1" applyFont="1" applyFill="1" applyBorder="1" applyAlignment="1">
      <alignment horizontal="center" vertical="center"/>
    </xf>
    <xf numFmtId="9" fontId="61" fillId="2" borderId="1" xfId="12" applyFont="1" applyFill="1" applyBorder="1" applyAlignment="1" applyProtection="1">
      <alignment horizontal="center" vertical="center"/>
    </xf>
    <xf numFmtId="49" fontId="59" fillId="2" borderId="1" xfId="1467" applyNumberFormat="1" applyFont="1" applyFill="1" applyBorder="1" applyAlignment="1">
      <alignment horizontal="center" vertical="center"/>
    </xf>
    <xf numFmtId="3" fontId="62" fillId="0" borderId="0" xfId="1467" applyNumberFormat="1" applyFont="1" applyAlignment="1">
      <alignment horizontal="center" vertical="center"/>
    </xf>
    <xf numFmtId="9" fontId="62" fillId="0" borderId="0" xfId="12" applyFont="1" applyFill="1" applyBorder="1" applyAlignment="1" applyProtection="1">
      <alignment horizontal="center" vertical="center"/>
    </xf>
    <xf numFmtId="0" fontId="34" fillId="0" borderId="0" xfId="1467" applyFont="1" applyAlignment="1">
      <alignment vertical="center"/>
    </xf>
    <xf numFmtId="0" fontId="34" fillId="0" borderId="0" xfId="1467" applyFont="1" applyAlignment="1">
      <alignment horizontal="left" vertical="center" wrapText="1"/>
    </xf>
    <xf numFmtId="1" fontId="52" fillId="31" borderId="1" xfId="12" applyNumberFormat="1" applyFont="1" applyFill="1" applyBorder="1" applyAlignment="1" applyProtection="1">
      <alignment horizontal="center" vertical="center" wrapText="1"/>
    </xf>
    <xf numFmtId="1" fontId="52" fillId="28" borderId="1" xfId="12" applyNumberFormat="1" applyFont="1" applyFill="1" applyBorder="1" applyAlignment="1" applyProtection="1">
      <alignment horizontal="center" vertical="center" wrapText="1"/>
    </xf>
    <xf numFmtId="3" fontId="34" fillId="28" borderId="1" xfId="6" applyNumberFormat="1" applyFont="1" applyFill="1" applyBorder="1" applyAlignment="1">
      <alignment horizontal="right" vertical="center"/>
    </xf>
    <xf numFmtId="49" fontId="59" fillId="0" borderId="1" xfId="1467" applyNumberFormat="1" applyFont="1" applyBorder="1" applyAlignment="1">
      <alignment horizontal="left" vertical="center" wrapText="1"/>
    </xf>
    <xf numFmtId="49" fontId="34" fillId="0" borderId="1" xfId="1467" applyNumberFormat="1" applyFont="1" applyBorder="1" applyAlignment="1" applyProtection="1">
      <alignment horizontal="left" vertical="center" wrapText="1"/>
      <protection locked="0"/>
    </xf>
    <xf numFmtId="0" fontId="39" fillId="0" borderId="0" xfId="1467" applyFont="1" applyAlignment="1">
      <alignment horizontal="left" vertical="center" wrapText="1"/>
    </xf>
    <xf numFmtId="0" fontId="39" fillId="0" borderId="0" xfId="0" applyFont="1" applyAlignment="1">
      <alignment horizontal="left" vertical="center" wrapText="1"/>
    </xf>
    <xf numFmtId="0" fontId="39" fillId="0" borderId="0" xfId="1467" applyFont="1" applyAlignment="1">
      <alignment vertical="center" wrapText="1"/>
    </xf>
    <xf numFmtId="0" fontId="46" fillId="0" borderId="0" xfId="1467" applyFont="1" applyAlignment="1" applyProtection="1">
      <alignment vertical="center" wrapText="1"/>
      <protection locked="0"/>
    </xf>
    <xf numFmtId="0" fontId="39" fillId="0" borderId="0" xfId="0" applyFont="1" applyAlignment="1">
      <alignment vertical="center" wrapText="1"/>
    </xf>
    <xf numFmtId="3" fontId="52" fillId="0" borderId="1" xfId="6" applyNumberFormat="1" applyFont="1" applyBorder="1" applyAlignment="1">
      <alignment horizontal="center" vertical="center" wrapText="1"/>
    </xf>
    <xf numFmtId="9" fontId="52" fillId="0" borderId="1" xfId="12" applyFont="1" applyFill="1" applyBorder="1" applyAlignment="1" applyProtection="1">
      <alignment horizontal="center" vertical="center" wrapText="1"/>
    </xf>
    <xf numFmtId="3" fontId="52" fillId="32" borderId="1" xfId="6" applyNumberFormat="1" applyFont="1" applyFill="1" applyBorder="1" applyAlignment="1">
      <alignment horizontal="center" vertical="center" wrapText="1"/>
    </xf>
    <xf numFmtId="9" fontId="52" fillId="32" borderId="1" xfId="12" applyFont="1" applyFill="1" applyBorder="1" applyAlignment="1" applyProtection="1">
      <alignment horizontal="center" vertical="center" wrapText="1"/>
    </xf>
    <xf numFmtId="3" fontId="47" fillId="0" borderId="1" xfId="0" applyNumberFormat="1" applyFont="1" applyBorder="1" applyAlignment="1" applyProtection="1">
      <alignment horizontal="left" vertical="center" wrapText="1"/>
      <protection locked="0"/>
    </xf>
    <xf numFmtId="3" fontId="52" fillId="0" borderId="26" xfId="0" applyNumberFormat="1" applyFont="1" applyBorder="1" applyAlignment="1">
      <alignment horizontal="left" vertical="center" wrapText="1"/>
    </xf>
    <xf numFmtId="3" fontId="48" fillId="0" borderId="1" xfId="6" applyNumberFormat="1" applyFont="1" applyBorder="1" applyAlignment="1">
      <alignment horizontal="right" vertical="center"/>
    </xf>
    <xf numFmtId="49" fontId="48" fillId="0" borderId="1" xfId="6" applyNumberFormat="1" applyFont="1" applyBorder="1" applyAlignment="1">
      <alignment horizontal="left" vertical="center" wrapText="1"/>
    </xf>
    <xf numFmtId="49" fontId="48" fillId="0" borderId="4" xfId="6" applyNumberFormat="1" applyFont="1" applyBorder="1" applyAlignment="1">
      <alignment horizontal="left" vertical="center" wrapText="1"/>
    </xf>
    <xf numFmtId="3" fontId="59" fillId="30" borderId="1" xfId="0" applyNumberFormat="1" applyFont="1" applyFill="1" applyBorder="1" applyAlignment="1">
      <alignment vertical="center"/>
    </xf>
    <xf numFmtId="3" fontId="59" fillId="30" borderId="1" xfId="0" applyNumberFormat="1" applyFont="1" applyFill="1" applyBorder="1" applyAlignment="1">
      <alignment horizontal="center" vertical="center"/>
    </xf>
    <xf numFmtId="0" fontId="47" fillId="0" borderId="1" xfId="0" applyFont="1" applyBorder="1" applyAlignment="1">
      <alignment horizontal="center" vertical="center"/>
    </xf>
    <xf numFmtId="49" fontId="47" fillId="0" borderId="6" xfId="1" applyNumberFormat="1" applyFont="1" applyBorder="1" applyAlignment="1">
      <alignment horizontal="center" vertical="center"/>
    </xf>
    <xf numFmtId="49" fontId="49" fillId="0" borderId="1" xfId="12" applyNumberFormat="1" applyFont="1" applyFill="1" applyBorder="1" applyAlignment="1" applyProtection="1">
      <alignment horizontal="left" vertical="center" wrapText="1"/>
    </xf>
    <xf numFmtId="3" fontId="60" fillId="0" borderId="1" xfId="0" applyNumberFormat="1" applyFont="1" applyBorder="1" applyAlignment="1">
      <alignment horizontal="center" vertical="center" wrapText="1"/>
    </xf>
    <xf numFmtId="166" fontId="60" fillId="0" borderId="1" xfId="12" applyNumberFormat="1" applyFont="1" applyFill="1" applyBorder="1" applyAlignment="1" applyProtection="1">
      <alignment horizontal="center" vertical="center" wrapText="1"/>
    </xf>
    <xf numFmtId="3" fontId="60" fillId="0" borderId="1" xfId="12" applyNumberFormat="1" applyFont="1" applyFill="1" applyBorder="1" applyAlignment="1" applyProtection="1">
      <alignment horizontal="center" vertical="center" wrapText="1"/>
    </xf>
    <xf numFmtId="168" fontId="34" fillId="0" borderId="1" xfId="1467" applyNumberFormat="1" applyFont="1" applyBorder="1" applyAlignment="1" applyProtection="1">
      <alignment horizontal="left" vertical="center" wrapText="1"/>
      <protection locked="0"/>
    </xf>
    <xf numFmtId="3" fontId="59" fillId="0" borderId="1" xfId="1467" applyNumberFormat="1" applyFont="1" applyBorder="1" applyAlignment="1">
      <alignment horizontal="center" vertical="center"/>
    </xf>
    <xf numFmtId="3" fontId="61" fillId="0" borderId="1" xfId="1467" applyNumberFormat="1" applyFont="1" applyBorder="1" applyAlignment="1">
      <alignment horizontal="center" vertical="center"/>
    </xf>
    <xf numFmtId="9" fontId="61" fillId="0" borderId="1" xfId="12" applyFont="1" applyFill="1" applyBorder="1" applyAlignment="1" applyProtection="1">
      <alignment horizontal="center" vertical="center"/>
    </xf>
    <xf numFmtId="49" fontId="59" fillId="0" borderId="1" xfId="1467" applyNumberFormat="1" applyFont="1" applyBorder="1" applyAlignment="1">
      <alignment horizontal="center" vertical="center"/>
    </xf>
    <xf numFmtId="49" fontId="34" fillId="0" borderId="1" xfId="1467" applyNumberFormat="1" applyFont="1" applyBorder="1" applyAlignment="1">
      <alignment horizontal="left" vertical="center" wrapText="1"/>
    </xf>
    <xf numFmtId="3" fontId="59" fillId="0" borderId="1" xfId="1467" applyNumberFormat="1" applyFont="1" applyBorder="1" applyAlignment="1" applyProtection="1">
      <alignment horizontal="center" vertical="center"/>
      <protection locked="0"/>
    </xf>
    <xf numFmtId="3" fontId="59" fillId="0" borderId="1" xfId="1467" applyNumberFormat="1" applyFont="1" applyBorder="1" applyAlignment="1" applyProtection="1">
      <alignment horizontal="left" vertical="center" wrapText="1"/>
      <protection locked="0"/>
    </xf>
    <xf numFmtId="3" fontId="59" fillId="0" borderId="1" xfId="1467" applyNumberFormat="1" applyFont="1" applyBorder="1" applyAlignment="1">
      <alignment horizontal="left" vertical="center" wrapText="1"/>
    </xf>
    <xf numFmtId="3" fontId="34" fillId="0" borderId="0" xfId="1467" applyNumberFormat="1" applyFont="1" applyAlignment="1">
      <alignment horizontal="center" vertical="center"/>
    </xf>
    <xf numFmtId="3" fontId="60" fillId="0" borderId="0" xfId="1467" applyNumberFormat="1" applyFont="1" applyAlignment="1">
      <alignment horizontal="center" vertical="center"/>
    </xf>
    <xf numFmtId="9" fontId="60" fillId="0" borderId="0" xfId="12" applyFont="1" applyFill="1" applyBorder="1" applyAlignment="1" applyProtection="1">
      <alignment horizontal="center" vertical="center"/>
    </xf>
    <xf numFmtId="49" fontId="34" fillId="0" borderId="0" xfId="1467" applyNumberFormat="1" applyFont="1" applyAlignment="1">
      <alignment horizontal="left" vertical="center" wrapText="1"/>
    </xf>
    <xf numFmtId="49" fontId="34" fillId="0" borderId="0" xfId="1467" applyNumberFormat="1" applyFont="1" applyAlignment="1">
      <alignment horizontal="center" vertical="center"/>
    </xf>
    <xf numFmtId="0" fontId="59" fillId="0" borderId="0" xfId="1467" applyFont="1" applyAlignment="1">
      <alignment horizontal="center"/>
    </xf>
    <xf numFmtId="168" fontId="34" fillId="0" borderId="0" xfId="1467" applyNumberFormat="1" applyFont="1" applyAlignment="1">
      <alignment horizontal="right" vertical="center"/>
    </xf>
    <xf numFmtId="0" fontId="34" fillId="0" borderId="0" xfId="1467" applyFont="1" applyAlignment="1">
      <alignment horizontal="right" vertical="center"/>
    </xf>
    <xf numFmtId="0" fontId="64" fillId="0" borderId="0" xfId="1467" applyFont="1" applyAlignment="1">
      <alignment horizontal="right" vertical="center"/>
    </xf>
    <xf numFmtId="0" fontId="64" fillId="0" borderId="0" xfId="1467" applyFont="1" applyAlignment="1">
      <alignment horizontal="right" vertical="center" wrapText="1"/>
    </xf>
    <xf numFmtId="168" fontId="64" fillId="0" borderId="0" xfId="1467" applyNumberFormat="1" applyFont="1" applyAlignment="1">
      <alignment horizontal="right" vertical="center"/>
    </xf>
    <xf numFmtId="0" fontId="64" fillId="0" borderId="0" xfId="1467" applyFont="1" applyAlignment="1">
      <alignment vertical="center"/>
    </xf>
    <xf numFmtId="168" fontId="64" fillId="0" borderId="0" xfId="1467" applyNumberFormat="1" applyFont="1" applyAlignment="1">
      <alignment vertical="center"/>
    </xf>
    <xf numFmtId="3" fontId="64" fillId="0" borderId="0" xfId="1467" applyNumberFormat="1" applyFont="1" applyAlignment="1">
      <alignment vertical="center"/>
    </xf>
    <xf numFmtId="3" fontId="39" fillId="0" borderId="0" xfId="0" applyNumberFormat="1" applyFont="1" applyAlignment="1">
      <alignment vertical="center"/>
    </xf>
    <xf numFmtId="3" fontId="65" fillId="0" borderId="0" xfId="0" applyNumberFormat="1" applyFont="1" applyAlignment="1">
      <alignment vertical="center"/>
    </xf>
    <xf numFmtId="0" fontId="65" fillId="0" borderId="0" xfId="0" applyFont="1" applyAlignment="1">
      <alignment vertical="center"/>
    </xf>
    <xf numFmtId="3" fontId="66" fillId="0" borderId="1" xfId="0" applyNumberFormat="1" applyFont="1" applyBorder="1" applyAlignment="1">
      <alignment horizontal="center" vertical="center" wrapText="1"/>
    </xf>
    <xf numFmtId="49" fontId="47" fillId="0" borderId="26" xfId="1" applyNumberFormat="1" applyFont="1" applyBorder="1" applyAlignment="1">
      <alignment horizontal="left" vertical="center"/>
    </xf>
    <xf numFmtId="3" fontId="66" fillId="2" borderId="1" xfId="1" applyNumberFormat="1" applyFont="1" applyFill="1" applyBorder="1" applyAlignment="1" applyProtection="1">
      <alignment horizontal="right" vertical="center"/>
      <protection locked="0"/>
    </xf>
    <xf numFmtId="3" fontId="48" fillId="0" borderId="1" xfId="14" applyNumberFormat="1" applyFont="1" applyFill="1" applyBorder="1" applyAlignment="1" applyProtection="1">
      <alignment horizontal="right" vertical="center"/>
      <protection locked="0"/>
    </xf>
    <xf numFmtId="49" fontId="34" fillId="0" borderId="1" xfId="1" applyNumberFormat="1" applyFont="1" applyBorder="1" applyAlignment="1">
      <alignment horizontal="left" vertical="center" wrapText="1"/>
    </xf>
    <xf numFmtId="3" fontId="67" fillId="28" borderId="1" xfId="1" applyNumberFormat="1" applyFont="1" applyFill="1" applyBorder="1" applyAlignment="1" applyProtection="1">
      <alignment horizontal="right" vertical="center"/>
      <protection locked="0"/>
    </xf>
    <xf numFmtId="49" fontId="47" fillId="0" borderId="1" xfId="1" applyNumberFormat="1" applyFont="1" applyBorder="1" applyAlignment="1">
      <alignment vertical="center"/>
    </xf>
    <xf numFmtId="49" fontId="47" fillId="0" borderId="4" xfId="1" applyNumberFormat="1" applyFont="1" applyBorder="1" applyAlignment="1">
      <alignment vertical="center"/>
    </xf>
    <xf numFmtId="49" fontId="47" fillId="0" borderId="4" xfId="1" applyNumberFormat="1" applyFont="1" applyBorder="1" applyAlignment="1" applyProtection="1">
      <alignment horizontal="center" vertical="center"/>
      <protection locked="0"/>
    </xf>
    <xf numFmtId="3" fontId="47" fillId="0" borderId="1" xfId="1" applyNumberFormat="1" applyFont="1" applyBorder="1" applyAlignment="1" applyProtection="1">
      <alignment horizontal="right" vertical="center"/>
      <protection locked="0"/>
    </xf>
    <xf numFmtId="3" fontId="47" fillId="32" borderId="1" xfId="1" applyNumberFormat="1" applyFont="1" applyFill="1" applyBorder="1" applyAlignment="1">
      <alignment horizontal="right" vertical="center"/>
    </xf>
    <xf numFmtId="3" fontId="67" fillId="0" borderId="0" xfId="1" applyNumberFormat="1" applyFont="1" applyAlignment="1">
      <alignment horizontal="right" vertical="center"/>
    </xf>
    <xf numFmtId="0" fontId="66" fillId="0" borderId="0" xfId="0" applyFont="1" applyAlignment="1" applyProtection="1">
      <alignment vertical="center"/>
      <protection locked="0"/>
    </xf>
    <xf numFmtId="0" fontId="66" fillId="0" borderId="0" xfId="1467" applyFont="1" applyAlignment="1">
      <alignment horizontal="left" vertical="top" wrapText="1"/>
    </xf>
    <xf numFmtId="49" fontId="47" fillId="0" borderId="26" xfId="6" applyNumberFormat="1" applyFont="1" applyBorder="1" applyAlignment="1">
      <alignment horizontal="left" vertical="center"/>
    </xf>
    <xf numFmtId="49" fontId="48" fillId="0" borderId="1" xfId="6" applyNumberFormat="1" applyFont="1" applyBorder="1" applyAlignment="1">
      <alignment horizontal="right" vertical="center"/>
    </xf>
    <xf numFmtId="3" fontId="49" fillId="0" borderId="6" xfId="6" applyNumberFormat="1" applyFont="1" applyBorder="1" applyAlignment="1">
      <alignment horizontal="left" vertical="center" wrapText="1" indent="2"/>
    </xf>
    <xf numFmtId="3" fontId="48" fillId="0" borderId="6" xfId="6" applyNumberFormat="1" applyFont="1" applyBorder="1" applyAlignment="1" applyProtection="1">
      <alignment horizontal="right" vertical="center" wrapText="1"/>
      <protection locked="0"/>
    </xf>
    <xf numFmtId="3" fontId="48" fillId="0" borderId="6" xfId="6" applyNumberFormat="1" applyFont="1" applyBorder="1" applyAlignment="1">
      <alignment vertical="center" wrapText="1"/>
    </xf>
    <xf numFmtId="3" fontId="52" fillId="0" borderId="1" xfId="0" applyNumberFormat="1" applyFont="1" applyBorder="1" applyAlignment="1">
      <alignment horizontal="center" vertical="center" wrapText="1"/>
    </xf>
    <xf numFmtId="3" fontId="52" fillId="0" borderId="4" xfId="0" applyNumberFormat="1" applyFont="1" applyBorder="1" applyAlignment="1">
      <alignment horizontal="center" vertical="center" wrapText="1"/>
    </xf>
    <xf numFmtId="3" fontId="52" fillId="0" borderId="7" xfId="0" applyNumberFormat="1" applyFont="1" applyBorder="1" applyAlignment="1">
      <alignment horizontal="center" vertical="center" wrapText="1"/>
    </xf>
    <xf numFmtId="3" fontId="52" fillId="0" borderId="6" xfId="0" applyNumberFormat="1" applyFont="1" applyBorder="1" applyAlignment="1">
      <alignment horizontal="center" vertical="center" wrapText="1"/>
    </xf>
    <xf numFmtId="3" fontId="52" fillId="0" borderId="4" xfId="0" applyNumberFormat="1" applyFont="1" applyBorder="1" applyAlignment="1" applyProtection="1">
      <alignment horizontal="center" vertical="center" wrapText="1"/>
      <protection locked="0"/>
    </xf>
    <xf numFmtId="3" fontId="52" fillId="0" borderId="7" xfId="0" applyNumberFormat="1" applyFont="1" applyBorder="1" applyAlignment="1" applyProtection="1">
      <alignment horizontal="center" vertical="center" wrapText="1"/>
      <protection locked="0"/>
    </xf>
    <xf numFmtId="3" fontId="52" fillId="0" borderId="6" xfId="0" applyNumberFormat="1" applyFont="1" applyBorder="1" applyAlignment="1" applyProtection="1">
      <alignment horizontal="center" vertical="center" wrapText="1"/>
      <protection locked="0"/>
    </xf>
    <xf numFmtId="3" fontId="49" fillId="2" borderId="4" xfId="0" applyNumberFormat="1" applyFont="1" applyFill="1" applyBorder="1" applyAlignment="1">
      <alignment horizontal="center" vertical="center" wrapText="1"/>
    </xf>
    <xf numFmtId="3" fontId="49" fillId="2" borderId="7" xfId="0" applyNumberFormat="1" applyFont="1" applyFill="1" applyBorder="1" applyAlignment="1">
      <alignment horizontal="center" vertical="center" wrapText="1"/>
    </xf>
    <xf numFmtId="3" fontId="49" fillId="2" borderId="6" xfId="0" applyNumberFormat="1" applyFont="1" applyFill="1" applyBorder="1" applyAlignment="1">
      <alignment horizontal="center" vertical="center" wrapText="1"/>
    </xf>
    <xf numFmtId="3" fontId="53" fillId="0" borderId="0" xfId="0" applyNumberFormat="1" applyFont="1" applyAlignment="1">
      <alignment horizontal="left" vertical="center"/>
    </xf>
    <xf numFmtId="3" fontId="49" fillId="0" borderId="4" xfId="0" applyNumberFormat="1" applyFont="1" applyBorder="1" applyAlignment="1">
      <alignment horizontal="center" vertical="center" wrapText="1"/>
    </xf>
    <xf numFmtId="3" fontId="49" fillId="0" borderId="7" xfId="0" applyNumberFormat="1" applyFont="1" applyBorder="1" applyAlignment="1">
      <alignment horizontal="center" vertical="center" wrapText="1"/>
    </xf>
    <xf numFmtId="3" fontId="49" fillId="0" borderId="6" xfId="0" applyNumberFormat="1" applyFont="1" applyBorder="1" applyAlignment="1">
      <alignment horizontal="center" vertical="center" wrapText="1"/>
    </xf>
    <xf numFmtId="3" fontId="48" fillId="0" borderId="0" xfId="0" applyNumberFormat="1" applyFont="1" applyAlignment="1">
      <alignment horizontal="left" vertical="top" wrapText="1"/>
    </xf>
    <xf numFmtId="3" fontId="48" fillId="0" borderId="0" xfId="0" applyNumberFormat="1" applyFont="1" applyAlignment="1">
      <alignment horizontal="left" vertical="center" wrapText="1"/>
    </xf>
    <xf numFmtId="3" fontId="48" fillId="0" borderId="0" xfId="0" applyNumberFormat="1" applyFont="1" applyAlignment="1">
      <alignment horizontal="left" vertical="center"/>
    </xf>
    <xf numFmtId="0" fontId="34" fillId="0" borderId="0" xfId="1467" applyFont="1" applyAlignment="1">
      <alignment horizontal="left" vertical="top" wrapText="1"/>
    </xf>
    <xf numFmtId="3" fontId="63" fillId="0" borderId="0" xfId="0" applyNumberFormat="1" applyFont="1" applyAlignment="1">
      <alignment horizontal="left" vertical="center"/>
    </xf>
    <xf numFmtId="0" fontId="34" fillId="0" borderId="0" xfId="1467" applyFont="1" applyAlignment="1">
      <alignment vertical="center" wrapText="1"/>
    </xf>
    <xf numFmtId="49" fontId="47" fillId="0" borderId="4" xfId="1" applyNumberFormat="1" applyFont="1" applyBorder="1" applyAlignment="1">
      <alignment horizontal="center" vertical="center"/>
    </xf>
    <xf numFmtId="49" fontId="47" fillId="0" borderId="7" xfId="1" applyNumberFormat="1" applyFont="1" applyBorder="1" applyAlignment="1">
      <alignment horizontal="center" vertical="center"/>
    </xf>
    <xf numFmtId="49" fontId="48" fillId="0" borderId="4" xfId="1" applyNumberFormat="1" applyFont="1" applyBorder="1" applyAlignment="1">
      <alignment horizontal="center" vertical="center"/>
    </xf>
    <xf numFmtId="49" fontId="48" fillId="0" borderId="7" xfId="1" applyNumberFormat="1" applyFont="1" applyBorder="1" applyAlignment="1">
      <alignment horizontal="center" vertical="center"/>
    </xf>
    <xf numFmtId="49" fontId="48" fillId="0" borderId="6" xfId="1" applyNumberFormat="1" applyFont="1" applyBorder="1" applyAlignment="1">
      <alignment horizontal="center" vertical="center"/>
    </xf>
    <xf numFmtId="49" fontId="47" fillId="0" borderId="6" xfId="1" applyNumberFormat="1" applyFont="1" applyBorder="1" applyAlignment="1">
      <alignment horizontal="center" vertical="center"/>
    </xf>
    <xf numFmtId="49" fontId="34" fillId="0" borderId="4" xfId="1" applyNumberFormat="1" applyFont="1" applyBorder="1" applyAlignment="1">
      <alignment horizontal="left" vertical="center" wrapText="1"/>
    </xf>
    <xf numFmtId="49" fontId="34" fillId="0" borderId="7" xfId="1" applyNumberFormat="1" applyFont="1" applyBorder="1" applyAlignment="1">
      <alignment horizontal="left" vertical="center" wrapText="1"/>
    </xf>
    <xf numFmtId="49" fontId="34" fillId="0" borderId="6" xfId="1" applyNumberFormat="1" applyFont="1" applyBorder="1" applyAlignment="1">
      <alignment horizontal="left" vertical="center" wrapText="1"/>
    </xf>
    <xf numFmtId="0" fontId="48" fillId="0" borderId="0" xfId="1467" applyFont="1" applyAlignment="1">
      <alignment horizontal="left" vertical="top" wrapText="1"/>
    </xf>
    <xf numFmtId="49" fontId="48" fillId="0" borderId="4" xfId="1" applyNumberFormat="1" applyFont="1" applyBorder="1" applyAlignment="1">
      <alignment horizontal="left" vertical="center" wrapText="1"/>
    </xf>
    <xf numFmtId="49" fontId="48" fillId="0" borderId="7" xfId="1" applyNumberFormat="1" applyFont="1" applyBorder="1" applyAlignment="1">
      <alignment horizontal="left" vertical="center" wrapText="1"/>
    </xf>
    <xf numFmtId="49" fontId="48" fillId="0" borderId="6" xfId="1" applyNumberFormat="1" applyFont="1" applyBorder="1" applyAlignment="1">
      <alignment horizontal="left" vertical="center" wrapText="1"/>
    </xf>
    <xf numFmtId="0" fontId="48" fillId="2" borderId="5" xfId="1" applyFont="1" applyFill="1" applyBorder="1" applyAlignment="1" applyProtection="1">
      <alignment horizontal="center" vertical="center"/>
      <protection locked="0"/>
    </xf>
    <xf numFmtId="0" fontId="48" fillId="2" borderId="12" xfId="1" applyFont="1" applyFill="1" applyBorder="1" applyAlignment="1" applyProtection="1">
      <alignment horizontal="center" vertical="center"/>
      <protection locked="0"/>
    </xf>
    <xf numFmtId="49" fontId="47" fillId="0" borderId="1" xfId="1" applyNumberFormat="1" applyFont="1" applyBorder="1" applyAlignment="1">
      <alignment horizontal="center" vertical="center"/>
    </xf>
    <xf numFmtId="49" fontId="47" fillId="0" borderId="4" xfId="6" applyNumberFormat="1" applyFont="1" applyBorder="1" applyAlignment="1">
      <alignment horizontal="center" vertical="center"/>
    </xf>
    <xf numFmtId="49" fontId="47" fillId="0" borderId="7" xfId="6" applyNumberFormat="1" applyFont="1" applyBorder="1" applyAlignment="1">
      <alignment horizontal="center" vertical="center"/>
    </xf>
    <xf numFmtId="49" fontId="47" fillId="0" borderId="6" xfId="6" applyNumberFormat="1" applyFont="1" applyBorder="1" applyAlignment="1">
      <alignment horizontal="center" vertical="center"/>
    </xf>
    <xf numFmtId="16" fontId="47" fillId="31" borderId="12" xfId="6" applyNumberFormat="1" applyFont="1" applyFill="1" applyBorder="1" applyAlignment="1">
      <alignment horizontal="left" vertical="center" wrapText="1"/>
    </xf>
    <xf numFmtId="49" fontId="47" fillId="0" borderId="4" xfId="6" applyNumberFormat="1" applyFont="1" applyBorder="1" applyAlignment="1">
      <alignment horizontal="center" vertical="center" wrapText="1"/>
    </xf>
    <xf numFmtId="49" fontId="47" fillId="0" borderId="7" xfId="6" applyNumberFormat="1" applyFont="1" applyBorder="1" applyAlignment="1">
      <alignment horizontal="center" vertical="center" wrapText="1"/>
    </xf>
    <xf numFmtId="49" fontId="47" fillId="0" borderId="6" xfId="6" applyNumberFormat="1" applyFont="1" applyBorder="1" applyAlignment="1">
      <alignment horizontal="center" vertical="center" wrapText="1"/>
    </xf>
    <xf numFmtId="0" fontId="48" fillId="0" borderId="0" xfId="0" applyFont="1" applyAlignment="1">
      <alignment horizontal="left" vertical="center" wrapText="1"/>
    </xf>
    <xf numFmtId="0" fontId="48" fillId="0" borderId="0" xfId="0" applyFont="1" applyAlignment="1">
      <alignment horizontal="left" vertical="top"/>
    </xf>
    <xf numFmtId="49" fontId="48" fillId="0" borderId="4" xfId="6" applyNumberFormat="1" applyFont="1" applyBorder="1" applyAlignment="1">
      <alignment horizontal="left" vertical="center" wrapText="1"/>
    </xf>
    <xf numFmtId="49" fontId="48" fillId="0" borderId="7" xfId="6" applyNumberFormat="1" applyFont="1" applyBorder="1" applyAlignment="1">
      <alignment horizontal="left" vertical="center"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8050000}"/>
    <cellStyle name="Percent 2 2" xfId="1394" xr:uid="{00000000-0005-0000-0000-000079050000}"/>
    <cellStyle name="Percent 3" xfId="1395" xr:uid="{00000000-0005-0000-0000-00007A050000}"/>
    <cellStyle name="Percent 4" xfId="1396" xr:uid="{00000000-0005-0000-0000-00007B050000}"/>
    <cellStyle name="Percent 5" xfId="1397" xr:uid="{00000000-0005-0000-0000-00007C050000}"/>
    <cellStyle name="Percent 6" xfId="1398" xr:uid="{00000000-0005-0000-0000-00007D050000}"/>
    <cellStyle name="Percent 6 2" xfId="1399" xr:uid="{00000000-0005-0000-0000-00007E050000}"/>
    <cellStyle name="Procenti" xfId="12" builtinId="5"/>
    <cellStyle name="Title 10" xfId="1400" xr:uid="{00000000-0005-0000-0000-00007F050000}"/>
    <cellStyle name="Title 11" xfId="1401" xr:uid="{00000000-0005-0000-0000-000080050000}"/>
    <cellStyle name="Title 12" xfId="1402" xr:uid="{00000000-0005-0000-0000-000081050000}"/>
    <cellStyle name="Title 13" xfId="1403" xr:uid="{00000000-0005-0000-0000-000082050000}"/>
    <cellStyle name="Title 14" xfId="1404" xr:uid="{00000000-0005-0000-0000-000083050000}"/>
    <cellStyle name="Title 15" xfId="1405" xr:uid="{00000000-0005-0000-0000-000084050000}"/>
    <cellStyle name="Title 16" xfId="1406" xr:uid="{00000000-0005-0000-0000-000085050000}"/>
    <cellStyle name="Title 2" xfId="1407" xr:uid="{00000000-0005-0000-0000-000086050000}"/>
    <cellStyle name="Title 3" xfId="1408" xr:uid="{00000000-0005-0000-0000-000087050000}"/>
    <cellStyle name="Title 4" xfId="1409" xr:uid="{00000000-0005-0000-0000-000088050000}"/>
    <cellStyle name="Title 5" xfId="1410" xr:uid="{00000000-0005-0000-0000-000089050000}"/>
    <cellStyle name="Title 6" xfId="1411" xr:uid="{00000000-0005-0000-0000-00008A050000}"/>
    <cellStyle name="Title 7" xfId="1412" xr:uid="{00000000-0005-0000-0000-00008B050000}"/>
    <cellStyle name="Title 8" xfId="1413" xr:uid="{00000000-0005-0000-0000-00008C050000}"/>
    <cellStyle name="Title 9" xfId="1414" xr:uid="{00000000-0005-0000-0000-00008D050000}"/>
    <cellStyle name="Total 10" xfId="1415" xr:uid="{00000000-0005-0000-0000-00008E050000}"/>
    <cellStyle name="Total 10 2" xfId="1416" xr:uid="{00000000-0005-0000-0000-00008F050000}"/>
    <cellStyle name="Total 11" xfId="1417" xr:uid="{00000000-0005-0000-0000-000090050000}"/>
    <cellStyle name="Total 11 2" xfId="1418" xr:uid="{00000000-0005-0000-0000-000091050000}"/>
    <cellStyle name="Total 12" xfId="1419" xr:uid="{00000000-0005-0000-0000-000092050000}"/>
    <cellStyle name="Total 12 2" xfId="1420" xr:uid="{00000000-0005-0000-0000-000093050000}"/>
    <cellStyle name="Total 13" xfId="1421" xr:uid="{00000000-0005-0000-0000-000094050000}"/>
    <cellStyle name="Total 13 2" xfId="1422" xr:uid="{00000000-0005-0000-0000-000095050000}"/>
    <cellStyle name="Total 14" xfId="1423" xr:uid="{00000000-0005-0000-0000-000096050000}"/>
    <cellStyle name="Total 14 2" xfId="1424" xr:uid="{00000000-0005-0000-0000-000097050000}"/>
    <cellStyle name="Total 15" xfId="1425" xr:uid="{00000000-0005-0000-0000-000098050000}"/>
    <cellStyle name="Total 15 2" xfId="1426" xr:uid="{00000000-0005-0000-0000-000099050000}"/>
    <cellStyle name="Total 16" xfId="1427" xr:uid="{00000000-0005-0000-0000-00009A050000}"/>
    <cellStyle name="Total 2" xfId="1428" xr:uid="{00000000-0005-0000-0000-00009B050000}"/>
    <cellStyle name="Total 2 2" xfId="1429" xr:uid="{00000000-0005-0000-0000-00009C050000}"/>
    <cellStyle name="Total 3" xfId="1430" xr:uid="{00000000-0005-0000-0000-00009D050000}"/>
    <cellStyle name="Total 3 2" xfId="1431" xr:uid="{00000000-0005-0000-0000-00009E050000}"/>
    <cellStyle name="Total 4" xfId="1432" xr:uid="{00000000-0005-0000-0000-00009F050000}"/>
    <cellStyle name="Total 4 2" xfId="1433" xr:uid="{00000000-0005-0000-0000-0000A0050000}"/>
    <cellStyle name="Total 5" xfId="1434" xr:uid="{00000000-0005-0000-0000-0000A1050000}"/>
    <cellStyle name="Total 5 2" xfId="1435" xr:uid="{00000000-0005-0000-0000-0000A2050000}"/>
    <cellStyle name="Total 6" xfId="1436" xr:uid="{00000000-0005-0000-0000-0000A3050000}"/>
    <cellStyle name="Total 6 2" xfId="1437" xr:uid="{00000000-0005-0000-0000-0000A4050000}"/>
    <cellStyle name="Total 7" xfId="1438" xr:uid="{00000000-0005-0000-0000-0000A5050000}"/>
    <cellStyle name="Total 7 2" xfId="1439" xr:uid="{00000000-0005-0000-0000-0000A6050000}"/>
    <cellStyle name="Total 8" xfId="1440" xr:uid="{00000000-0005-0000-0000-0000A7050000}"/>
    <cellStyle name="Total 8 2" xfId="1441" xr:uid="{00000000-0005-0000-0000-0000A8050000}"/>
    <cellStyle name="Total 9" xfId="1442" xr:uid="{00000000-0005-0000-0000-0000A9050000}"/>
    <cellStyle name="Total 9 2" xfId="1443" xr:uid="{00000000-0005-0000-0000-0000AA050000}"/>
    <cellStyle name="Warning Text 10" xfId="1444" xr:uid="{00000000-0005-0000-0000-0000AB050000}"/>
    <cellStyle name="Warning Text 11" xfId="1445" xr:uid="{00000000-0005-0000-0000-0000AC050000}"/>
    <cellStyle name="Warning Text 12" xfId="1446" xr:uid="{00000000-0005-0000-0000-0000AD050000}"/>
    <cellStyle name="Warning Text 13" xfId="1447" xr:uid="{00000000-0005-0000-0000-0000AE050000}"/>
    <cellStyle name="Warning Text 14" xfId="1448" xr:uid="{00000000-0005-0000-0000-0000AF050000}"/>
    <cellStyle name="Warning Text 15" xfId="1449" xr:uid="{00000000-0005-0000-0000-0000B0050000}"/>
    <cellStyle name="Warning Text 16" xfId="1450" xr:uid="{00000000-0005-0000-0000-0000B1050000}"/>
    <cellStyle name="Warning Text 2" xfId="1451" xr:uid="{00000000-0005-0000-0000-0000B2050000}"/>
    <cellStyle name="Warning Text 3" xfId="1452" xr:uid="{00000000-0005-0000-0000-0000B3050000}"/>
    <cellStyle name="Warning Text 4" xfId="1453" xr:uid="{00000000-0005-0000-0000-0000B4050000}"/>
    <cellStyle name="Warning Text 5" xfId="1454" xr:uid="{00000000-0005-0000-0000-0000B5050000}"/>
    <cellStyle name="Warning Text 6" xfId="1455" xr:uid="{00000000-0005-0000-0000-0000B6050000}"/>
    <cellStyle name="Warning Text 7" xfId="1456" xr:uid="{00000000-0005-0000-0000-0000B7050000}"/>
    <cellStyle name="Warning Text 8" xfId="1457" xr:uid="{00000000-0005-0000-0000-0000B8050000}"/>
    <cellStyle name="Warning Text 9" xfId="1458" xr:uid="{00000000-0005-0000-0000-0000B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Z180"/>
  <sheetViews>
    <sheetView tabSelected="1" view="pageBreakPreview" zoomScale="90" zoomScaleNormal="10" zoomScaleSheetLayoutView="90" zoomScalePageLayoutView="55" workbookViewId="0">
      <selection sqref="A1:D1048576"/>
    </sheetView>
  </sheetViews>
  <sheetFormatPr defaultColWidth="9.140625" defaultRowHeight="18.75" outlineLevelCol="1" x14ac:dyDescent="0.2"/>
  <cols>
    <col min="1" max="1" width="7.85546875" style="1" bestFit="1" customWidth="1"/>
    <col min="2" max="2" width="103.85546875" style="1" bestFit="1" customWidth="1"/>
    <col min="3" max="3" width="19.85546875" style="1" customWidth="1"/>
    <col min="4" max="5" width="19.85546875" style="5" customWidth="1"/>
    <col min="6" max="6" width="19.85546875" style="5" customWidth="1" outlineLevel="1"/>
    <col min="7" max="8" width="24.42578125" style="5" customWidth="1" outlineLevel="1"/>
    <col min="9" max="9" width="78.140625" style="5" customWidth="1" outlineLevel="1"/>
    <col min="10" max="10" width="19.85546875" style="5" customWidth="1"/>
    <col min="11" max="11" width="19.85546875" style="5" customWidth="1" outlineLevel="1"/>
    <col min="12" max="13" width="24.42578125" style="5" customWidth="1" outlineLevel="1"/>
    <col min="14" max="14" width="78.140625" style="5" customWidth="1" outlineLevel="1"/>
    <col min="15" max="15" width="19.85546875" style="5" customWidth="1"/>
    <col min="16" max="16" width="19.85546875" style="5" customWidth="1" outlineLevel="1"/>
    <col min="17" max="18" width="24.42578125" style="5" customWidth="1" outlineLevel="1"/>
    <col min="19" max="19" width="78.140625" style="5" customWidth="1" outlineLevel="1"/>
    <col min="20" max="20" width="19.85546875" style="5" customWidth="1"/>
    <col min="21" max="21" width="19.85546875" style="5" customWidth="1" outlineLevel="1"/>
    <col min="22" max="23" width="24.42578125" style="5" customWidth="1" outlineLevel="1"/>
    <col min="24" max="24" width="78.140625" style="5" customWidth="1" outlineLevel="1"/>
    <col min="25" max="25" width="9.140625" style="1" customWidth="1"/>
    <col min="26" max="26" width="12.7109375" style="1" bestFit="1" customWidth="1"/>
    <col min="27" max="16384" width="9.140625" style="1"/>
  </cols>
  <sheetData>
    <row r="1" spans="1:26" ht="63" x14ac:dyDescent="0.2">
      <c r="A1" s="34" t="s">
        <v>0</v>
      </c>
      <c r="B1" s="25" t="s">
        <v>513</v>
      </c>
      <c r="C1" s="25" t="s">
        <v>568</v>
      </c>
      <c r="D1" s="25" t="s">
        <v>569</v>
      </c>
      <c r="E1" s="25" t="s">
        <v>570</v>
      </c>
      <c r="F1" s="25" t="s">
        <v>575</v>
      </c>
      <c r="G1" s="26" t="s">
        <v>573</v>
      </c>
      <c r="H1" s="27" t="s">
        <v>574</v>
      </c>
      <c r="I1" s="25" t="s">
        <v>443</v>
      </c>
      <c r="J1" s="25" t="s">
        <v>571</v>
      </c>
      <c r="K1" s="25" t="s">
        <v>572</v>
      </c>
      <c r="L1" s="26" t="s">
        <v>573</v>
      </c>
      <c r="M1" s="27" t="s">
        <v>574</v>
      </c>
      <c r="N1" s="25" t="s">
        <v>443</v>
      </c>
      <c r="O1" s="25" t="s">
        <v>576</v>
      </c>
      <c r="P1" s="25" t="s">
        <v>577</v>
      </c>
      <c r="Q1" s="26" t="s">
        <v>573</v>
      </c>
      <c r="R1" s="27" t="s">
        <v>574</v>
      </c>
      <c r="S1" s="25" t="s">
        <v>443</v>
      </c>
      <c r="T1" s="25" t="s">
        <v>578</v>
      </c>
      <c r="U1" s="25" t="s">
        <v>579</v>
      </c>
      <c r="V1" s="26" t="s">
        <v>573</v>
      </c>
      <c r="W1" s="27" t="s">
        <v>574</v>
      </c>
      <c r="X1" s="25" t="s">
        <v>443</v>
      </c>
    </row>
    <row r="2" spans="1:26" ht="12" customHeight="1" x14ac:dyDescent="0.2">
      <c r="A2" s="34">
        <v>1</v>
      </c>
      <c r="B2" s="25">
        <v>2</v>
      </c>
      <c r="C2" s="25">
        <v>3</v>
      </c>
      <c r="D2" s="25">
        <v>4</v>
      </c>
      <c r="E2" s="25">
        <v>5</v>
      </c>
      <c r="F2" s="25">
        <v>6</v>
      </c>
      <c r="G2" s="26">
        <v>7</v>
      </c>
      <c r="H2" s="28">
        <v>8</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6" ht="17.100000000000001" customHeight="1" x14ac:dyDescent="0.2">
      <c r="A3" s="309" t="s">
        <v>1</v>
      </c>
      <c r="B3" s="310" t="s">
        <v>2</v>
      </c>
      <c r="C3" s="375">
        <v>25000062.23</v>
      </c>
      <c r="D3" s="375">
        <v>26775776.443297558</v>
      </c>
      <c r="E3" s="375">
        <f>E4+E19+E22+E27+E28+E29+E30+E31</f>
        <v>6059363.6200000001</v>
      </c>
      <c r="F3" s="311"/>
      <c r="G3" s="312">
        <f>F3-E3</f>
        <v>-6059363.6200000001</v>
      </c>
      <c r="H3" s="313">
        <f>IFERROR(G3/ABS(E3), "-")</f>
        <v>-1</v>
      </c>
      <c r="I3" s="314"/>
      <c r="J3" s="375">
        <f>J4+J19+J22+J27+J28+J29+J30+J31</f>
        <v>12282500.179999998</v>
      </c>
      <c r="K3" s="311"/>
      <c r="L3" s="312">
        <f>K3-J3</f>
        <v>-12282500.179999998</v>
      </c>
      <c r="M3" s="313">
        <f>IFERROR(L3/ABS(J3), "-")</f>
        <v>-1</v>
      </c>
      <c r="N3" s="314"/>
      <c r="O3" s="375">
        <f>O4+O19+O22+O27+O28+O29+O30+O31</f>
        <v>19391932</v>
      </c>
      <c r="P3" s="311">
        <f>P4+P19+P22+P27+P28+P29+P30+P31</f>
        <v>0</v>
      </c>
      <c r="Q3" s="312">
        <f>P3-O3</f>
        <v>-19391932</v>
      </c>
      <c r="R3" s="313">
        <f>IFERROR(Q3/ABS(O3), "-")</f>
        <v>-1</v>
      </c>
      <c r="S3" s="314"/>
      <c r="T3" s="311">
        <v>26775776.443297599</v>
      </c>
      <c r="U3" s="311">
        <f>U4+U19+U22+U27+U28+U29+U30+U31</f>
        <v>0</v>
      </c>
      <c r="V3" s="312">
        <f>U3-T3</f>
        <v>-26775776.443297599</v>
      </c>
      <c r="W3" s="313">
        <f>IFERROR(V3/ABS(T3), "-")</f>
        <v>-1</v>
      </c>
      <c r="X3" s="314"/>
    </row>
    <row r="4" spans="1:26" s="2" customFormat="1" ht="17.100000000000001" customHeight="1" x14ac:dyDescent="0.2">
      <c r="A4" s="302" t="s">
        <v>94</v>
      </c>
      <c r="B4" s="291" t="s">
        <v>3</v>
      </c>
      <c r="C4" s="376">
        <v>22324146.77</v>
      </c>
      <c r="D4" s="376">
        <v>23339558.506097559</v>
      </c>
      <c r="E4" s="376">
        <f>E5+E10+E13+E16</f>
        <v>5259807.4900000012</v>
      </c>
      <c r="F4" s="282"/>
      <c r="G4" s="283">
        <f t="shared" ref="G4:G66" si="0">F4-E4</f>
        <v>-5259807.4900000012</v>
      </c>
      <c r="H4" s="284">
        <f t="shared" ref="H4:H66" si="1">IFERROR(G4/ABS(E4), "-")</f>
        <v>-1</v>
      </c>
      <c r="I4" s="285"/>
      <c r="J4" s="376">
        <f>J5+J10+J13+J16</f>
        <v>10777876.149999999</v>
      </c>
      <c r="K4" s="282"/>
      <c r="L4" s="283">
        <f t="shared" ref="L4:L69" si="2">K4-J4</f>
        <v>-10777876.149999999</v>
      </c>
      <c r="M4" s="284">
        <f t="shared" ref="M4:M69" si="3">IFERROR(L4/ABS(J4), "-")</f>
        <v>-1</v>
      </c>
      <c r="N4" s="285"/>
      <c r="O4" s="376">
        <f>O5+O10+O13+O16</f>
        <v>16862375</v>
      </c>
      <c r="P4" s="282">
        <f>P5+P10+P13+P16</f>
        <v>0</v>
      </c>
      <c r="Q4" s="283">
        <f t="shared" ref="Q4:Q69" si="4">P4-O4</f>
        <v>-16862375</v>
      </c>
      <c r="R4" s="284">
        <f t="shared" ref="R4:R69" si="5">IFERROR(Q4/ABS(O4), "-")</f>
        <v>-1</v>
      </c>
      <c r="S4" s="285"/>
      <c r="T4" s="282">
        <v>23339558.506097559</v>
      </c>
      <c r="U4" s="282">
        <f>U5+U10+U13+U16</f>
        <v>0</v>
      </c>
      <c r="V4" s="283">
        <f t="shared" ref="V4:V69" si="6">U4-T4</f>
        <v>-23339558.506097559</v>
      </c>
      <c r="W4" s="284">
        <f t="shared" ref="W4:W69" si="7">IFERROR(V4/ABS(T4), "-")</f>
        <v>-1</v>
      </c>
      <c r="X4" s="285"/>
      <c r="Z4" s="1"/>
    </row>
    <row r="5" spans="1:26" s="2" customFormat="1" ht="17.100000000000001" customHeight="1" x14ac:dyDescent="0.2">
      <c r="A5" s="180" t="s">
        <v>95</v>
      </c>
      <c r="B5" s="181" t="s">
        <v>96</v>
      </c>
      <c r="C5" s="377">
        <v>21136461.699999999</v>
      </c>
      <c r="D5" s="377">
        <v>22266726.126097601</v>
      </c>
      <c r="E5" s="377">
        <f>SUM(E6:E9)</f>
        <v>5021471.1100000003</v>
      </c>
      <c r="F5" s="177"/>
      <c r="G5" s="178">
        <f t="shared" si="0"/>
        <v>-5021471.1100000003</v>
      </c>
      <c r="H5" s="179">
        <f t="shared" si="1"/>
        <v>-1</v>
      </c>
      <c r="I5" s="501"/>
      <c r="J5" s="377">
        <f>SUM(J6:J9)</f>
        <v>10290108.6</v>
      </c>
      <c r="K5" s="177"/>
      <c r="L5" s="178">
        <f t="shared" si="2"/>
        <v>-10290108.6</v>
      </c>
      <c r="M5" s="179">
        <f t="shared" si="3"/>
        <v>-1</v>
      </c>
      <c r="N5" s="501"/>
      <c r="O5" s="377">
        <f>SUM(O6:O9)</f>
        <v>16046475</v>
      </c>
      <c r="P5" s="177">
        <f t="shared" ref="P5" si="8">SUM(P6:P9)</f>
        <v>0</v>
      </c>
      <c r="Q5" s="178">
        <f t="shared" si="4"/>
        <v>-16046475</v>
      </c>
      <c r="R5" s="179">
        <f t="shared" si="5"/>
        <v>-1</v>
      </c>
      <c r="S5" s="501"/>
      <c r="T5" s="177">
        <v>22266726.126097601</v>
      </c>
      <c r="U5" s="177">
        <f t="shared" ref="U5" si="9">SUM(U6:U9)</f>
        <v>0</v>
      </c>
      <c r="V5" s="178">
        <f t="shared" si="6"/>
        <v>-22266726.126097601</v>
      </c>
      <c r="W5" s="179">
        <f t="shared" si="7"/>
        <v>-1</v>
      </c>
      <c r="X5" s="501"/>
      <c r="Z5" s="1"/>
    </row>
    <row r="6" spans="1:26" ht="17.100000000000001" customHeight="1" x14ac:dyDescent="0.2">
      <c r="A6" s="288" t="s">
        <v>97</v>
      </c>
      <c r="B6" s="76" t="s">
        <v>502</v>
      </c>
      <c r="C6" s="378">
        <v>19502462.219999999</v>
      </c>
      <c r="D6" s="378">
        <v>20696471.900243897</v>
      </c>
      <c r="E6" s="378">
        <v>4630682.25</v>
      </c>
      <c r="F6" s="142"/>
      <c r="G6" s="143">
        <f>F6-E6</f>
        <v>-4630682.25</v>
      </c>
      <c r="H6" s="144">
        <f>IFERROR(G6/ABS(E6), "-")</f>
        <v>-1</v>
      </c>
      <c r="I6" s="502"/>
      <c r="J6" s="378">
        <v>9485823.7300000004</v>
      </c>
      <c r="K6" s="142"/>
      <c r="L6" s="143">
        <f t="shared" si="2"/>
        <v>-9485823.7300000004</v>
      </c>
      <c r="M6" s="144">
        <f t="shared" si="3"/>
        <v>-1</v>
      </c>
      <c r="N6" s="502"/>
      <c r="O6" s="378">
        <f>14044351+847104.5</f>
        <v>14891455.5</v>
      </c>
      <c r="P6" s="142"/>
      <c r="Q6" s="143">
        <f t="shared" si="4"/>
        <v>-14891455.5</v>
      </c>
      <c r="R6" s="144">
        <f t="shared" si="5"/>
        <v>-1</v>
      </c>
      <c r="S6" s="502"/>
      <c r="T6" s="142">
        <v>20696471.900243897</v>
      </c>
      <c r="U6" s="142"/>
      <c r="V6" s="143">
        <f t="shared" si="6"/>
        <v>-20696471.900243897</v>
      </c>
      <c r="W6" s="144">
        <f t="shared" si="7"/>
        <v>-1</v>
      </c>
      <c r="X6" s="502"/>
    </row>
    <row r="7" spans="1:26" ht="17.100000000000001" customHeight="1" x14ac:dyDescent="0.2">
      <c r="A7" s="288" t="s">
        <v>98</v>
      </c>
      <c r="B7" s="76" t="s">
        <v>501</v>
      </c>
      <c r="C7" s="378">
        <v>128490</v>
      </c>
      <c r="D7" s="378">
        <v>117823.5609756098</v>
      </c>
      <c r="E7" s="378">
        <v>37860</v>
      </c>
      <c r="F7" s="142"/>
      <c r="G7" s="143">
        <f t="shared" si="0"/>
        <v>-37860</v>
      </c>
      <c r="H7" s="144">
        <f t="shared" si="1"/>
        <v>-1</v>
      </c>
      <c r="I7" s="502"/>
      <c r="J7" s="378">
        <v>72958</v>
      </c>
      <c r="K7" s="142"/>
      <c r="L7" s="143">
        <f t="shared" si="2"/>
        <v>-72958</v>
      </c>
      <c r="M7" s="144">
        <f t="shared" si="3"/>
        <v>-1</v>
      </c>
      <c r="N7" s="502"/>
      <c r="O7" s="378">
        <v>93584</v>
      </c>
      <c r="P7" s="142"/>
      <c r="Q7" s="143">
        <f t="shared" si="4"/>
        <v>-93584</v>
      </c>
      <c r="R7" s="144">
        <f t="shared" si="5"/>
        <v>-1</v>
      </c>
      <c r="S7" s="502"/>
      <c r="T7" s="142">
        <v>117823.5609756098</v>
      </c>
      <c r="U7" s="142"/>
      <c r="V7" s="143">
        <f t="shared" si="6"/>
        <v>-117823.5609756098</v>
      </c>
      <c r="W7" s="144">
        <f t="shared" si="7"/>
        <v>-1</v>
      </c>
      <c r="X7" s="502"/>
    </row>
    <row r="8" spans="1:26" ht="17.100000000000001" customHeight="1" x14ac:dyDescent="0.2">
      <c r="A8" s="288" t="s">
        <v>99</v>
      </c>
      <c r="B8" s="76" t="s">
        <v>500</v>
      </c>
      <c r="C8" s="378">
        <v>1464695.64</v>
      </c>
      <c r="D8" s="378">
        <v>1419236.3234146344</v>
      </c>
      <c r="E8" s="378">
        <v>343220.86</v>
      </c>
      <c r="F8" s="142"/>
      <c r="G8" s="143">
        <f t="shared" si="0"/>
        <v>-343220.86</v>
      </c>
      <c r="H8" s="144">
        <f t="shared" si="1"/>
        <v>-1</v>
      </c>
      <c r="I8" s="502"/>
      <c r="J8" s="378">
        <v>714022.87</v>
      </c>
      <c r="K8" s="142"/>
      <c r="L8" s="143">
        <f t="shared" si="2"/>
        <v>-714022.87</v>
      </c>
      <c r="M8" s="144">
        <f t="shared" si="3"/>
        <v>-1</v>
      </c>
      <c r="N8" s="502"/>
      <c r="O8" s="378">
        <f>1010435+25466.5</f>
        <v>1035901.5</v>
      </c>
      <c r="P8" s="142"/>
      <c r="Q8" s="143">
        <f t="shared" si="4"/>
        <v>-1035901.5</v>
      </c>
      <c r="R8" s="144">
        <f t="shared" si="5"/>
        <v>-1</v>
      </c>
      <c r="S8" s="502"/>
      <c r="T8" s="142">
        <v>1419236.3234146344</v>
      </c>
      <c r="U8" s="142"/>
      <c r="V8" s="143">
        <f t="shared" si="6"/>
        <v>-1419236.3234146344</v>
      </c>
      <c r="W8" s="144">
        <f t="shared" si="7"/>
        <v>-1</v>
      </c>
      <c r="X8" s="502"/>
    </row>
    <row r="9" spans="1:26" ht="17.100000000000001" customHeight="1" x14ac:dyDescent="0.2">
      <c r="A9" s="288" t="s">
        <v>100</v>
      </c>
      <c r="B9" s="76" t="s">
        <v>499</v>
      </c>
      <c r="C9" s="378">
        <v>40813.839999999997</v>
      </c>
      <c r="D9" s="378">
        <v>33194.341463414647</v>
      </c>
      <c r="E9" s="378">
        <v>9708</v>
      </c>
      <c r="F9" s="142"/>
      <c r="G9" s="143">
        <f t="shared" si="0"/>
        <v>-9708</v>
      </c>
      <c r="H9" s="144">
        <f t="shared" si="1"/>
        <v>-1</v>
      </c>
      <c r="I9" s="503"/>
      <c r="J9" s="378">
        <v>17304</v>
      </c>
      <c r="K9" s="142"/>
      <c r="L9" s="143">
        <f t="shared" si="2"/>
        <v>-17304</v>
      </c>
      <c r="M9" s="144">
        <f t="shared" si="3"/>
        <v>-1</v>
      </c>
      <c r="N9" s="503"/>
      <c r="O9" s="378">
        <v>25534</v>
      </c>
      <c r="P9" s="142"/>
      <c r="Q9" s="143">
        <f t="shared" si="4"/>
        <v>-25534</v>
      </c>
      <c r="R9" s="144">
        <f t="shared" si="5"/>
        <v>-1</v>
      </c>
      <c r="S9" s="503"/>
      <c r="T9" s="142">
        <v>33194.341463414647</v>
      </c>
      <c r="U9" s="142"/>
      <c r="V9" s="143">
        <f t="shared" si="6"/>
        <v>-33194.341463414647</v>
      </c>
      <c r="W9" s="144">
        <f t="shared" si="7"/>
        <v>-1</v>
      </c>
      <c r="X9" s="503"/>
    </row>
    <row r="10" spans="1:26" ht="17.100000000000001" customHeight="1" x14ac:dyDescent="0.2">
      <c r="A10" s="180" t="s">
        <v>101</v>
      </c>
      <c r="B10" s="181" t="s">
        <v>102</v>
      </c>
      <c r="C10" s="377">
        <v>0</v>
      </c>
      <c r="D10" s="377">
        <v>0</v>
      </c>
      <c r="E10" s="377">
        <f t="shared" ref="E10" si="10">SUM(E11:E12)</f>
        <v>0</v>
      </c>
      <c r="F10" s="177"/>
      <c r="G10" s="178">
        <f t="shared" si="0"/>
        <v>0</v>
      </c>
      <c r="H10" s="179" t="str">
        <f t="shared" si="1"/>
        <v>-</v>
      </c>
      <c r="I10" s="501"/>
      <c r="J10" s="377">
        <f t="shared" ref="J10" si="11">SUM(J11:J12)</f>
        <v>0</v>
      </c>
      <c r="K10" s="177"/>
      <c r="L10" s="178">
        <f t="shared" si="2"/>
        <v>0</v>
      </c>
      <c r="M10" s="179" t="str">
        <f t="shared" si="3"/>
        <v>-</v>
      </c>
      <c r="N10" s="501"/>
      <c r="O10" s="377">
        <f t="shared" ref="O10:P10" si="12">SUM(O11:O12)</f>
        <v>0</v>
      </c>
      <c r="P10" s="177">
        <f t="shared" si="12"/>
        <v>0</v>
      </c>
      <c r="Q10" s="178">
        <f t="shared" si="4"/>
        <v>0</v>
      </c>
      <c r="R10" s="179" t="str">
        <f t="shared" si="5"/>
        <v>-</v>
      </c>
      <c r="S10" s="501"/>
      <c r="T10" s="177">
        <v>0</v>
      </c>
      <c r="U10" s="177">
        <f t="shared" ref="U10" si="13">SUM(U11:U12)</f>
        <v>0</v>
      </c>
      <c r="V10" s="178">
        <f t="shared" si="6"/>
        <v>0</v>
      </c>
      <c r="W10" s="179" t="str">
        <f t="shared" si="7"/>
        <v>-</v>
      </c>
      <c r="X10" s="501"/>
    </row>
    <row r="11" spans="1:26" ht="17.100000000000001" customHeight="1" x14ac:dyDescent="0.2">
      <c r="A11" s="288" t="s">
        <v>103</v>
      </c>
      <c r="B11" s="76" t="s">
        <v>104</v>
      </c>
      <c r="C11" s="378"/>
      <c r="D11" s="378">
        <v>0</v>
      </c>
      <c r="E11" s="378"/>
      <c r="F11" s="142"/>
      <c r="G11" s="143">
        <f t="shared" si="0"/>
        <v>0</v>
      </c>
      <c r="H11" s="144" t="str">
        <f t="shared" si="1"/>
        <v>-</v>
      </c>
      <c r="I11" s="502"/>
      <c r="J11" s="378"/>
      <c r="K11" s="142"/>
      <c r="L11" s="143">
        <f t="shared" si="2"/>
        <v>0</v>
      </c>
      <c r="M11" s="144" t="str">
        <f t="shared" si="3"/>
        <v>-</v>
      </c>
      <c r="N11" s="502"/>
      <c r="O11" s="378">
        <v>0</v>
      </c>
      <c r="P11" s="142"/>
      <c r="Q11" s="143">
        <f t="shared" si="4"/>
        <v>0</v>
      </c>
      <c r="R11" s="144" t="str">
        <f t="shared" si="5"/>
        <v>-</v>
      </c>
      <c r="S11" s="502"/>
      <c r="T11" s="142">
        <v>0</v>
      </c>
      <c r="U11" s="142"/>
      <c r="V11" s="143">
        <f t="shared" si="6"/>
        <v>0</v>
      </c>
      <c r="W11" s="144" t="str">
        <f t="shared" si="7"/>
        <v>-</v>
      </c>
      <c r="X11" s="502"/>
    </row>
    <row r="12" spans="1:26" ht="17.100000000000001" customHeight="1" x14ac:dyDescent="0.2">
      <c r="A12" s="288" t="s">
        <v>105</v>
      </c>
      <c r="B12" s="76" t="s">
        <v>106</v>
      </c>
      <c r="C12" s="378"/>
      <c r="D12" s="378">
        <v>0</v>
      </c>
      <c r="E12" s="378"/>
      <c r="F12" s="142"/>
      <c r="G12" s="143">
        <f t="shared" si="0"/>
        <v>0</v>
      </c>
      <c r="H12" s="144" t="str">
        <f t="shared" si="1"/>
        <v>-</v>
      </c>
      <c r="I12" s="503"/>
      <c r="J12" s="378"/>
      <c r="K12" s="142"/>
      <c r="L12" s="143">
        <f t="shared" si="2"/>
        <v>0</v>
      </c>
      <c r="M12" s="144" t="str">
        <f t="shared" si="3"/>
        <v>-</v>
      </c>
      <c r="N12" s="503"/>
      <c r="O12" s="378">
        <v>0</v>
      </c>
      <c r="P12" s="142"/>
      <c r="Q12" s="143">
        <f t="shared" si="4"/>
        <v>0</v>
      </c>
      <c r="R12" s="144" t="str">
        <f t="shared" si="5"/>
        <v>-</v>
      </c>
      <c r="S12" s="503"/>
      <c r="T12" s="142">
        <v>0</v>
      </c>
      <c r="U12" s="142"/>
      <c r="V12" s="143">
        <f t="shared" si="6"/>
        <v>0</v>
      </c>
      <c r="W12" s="144" t="str">
        <f t="shared" si="7"/>
        <v>-</v>
      </c>
      <c r="X12" s="503"/>
    </row>
    <row r="13" spans="1:26" ht="17.100000000000001" customHeight="1" x14ac:dyDescent="0.2">
      <c r="A13" s="180" t="s">
        <v>107</v>
      </c>
      <c r="B13" s="181" t="s">
        <v>494</v>
      </c>
      <c r="C13" s="377">
        <v>877840.68</v>
      </c>
      <c r="D13" s="377">
        <v>909072.9</v>
      </c>
      <c r="E13" s="377">
        <f>SUM(E14:E15)</f>
        <v>214758.9</v>
      </c>
      <c r="F13" s="177"/>
      <c r="G13" s="178">
        <f t="shared" si="0"/>
        <v>-214758.9</v>
      </c>
      <c r="H13" s="179">
        <f t="shared" si="1"/>
        <v>-1</v>
      </c>
      <c r="I13" s="501"/>
      <c r="J13" s="377">
        <f t="shared" ref="J13" si="14">SUM(J14:J15)</f>
        <v>437287.86</v>
      </c>
      <c r="K13" s="177"/>
      <c r="L13" s="178">
        <f t="shared" si="2"/>
        <v>-437287.86</v>
      </c>
      <c r="M13" s="179">
        <f t="shared" si="3"/>
        <v>-1</v>
      </c>
      <c r="N13" s="501"/>
      <c r="O13" s="377">
        <f>SUM(O14:O15)</f>
        <v>677635</v>
      </c>
      <c r="P13" s="177">
        <f t="shared" ref="P13" si="15">SUM(P14:P15)</f>
        <v>0</v>
      </c>
      <c r="Q13" s="178">
        <f t="shared" si="4"/>
        <v>-677635</v>
      </c>
      <c r="R13" s="179">
        <f t="shared" si="5"/>
        <v>-1</v>
      </c>
      <c r="S13" s="501"/>
      <c r="T13" s="177">
        <v>909072.9</v>
      </c>
      <c r="U13" s="177">
        <f t="shared" ref="U13" si="16">SUM(U14:U15)</f>
        <v>0</v>
      </c>
      <c r="V13" s="178">
        <f t="shared" si="6"/>
        <v>-909072.9</v>
      </c>
      <c r="W13" s="179">
        <f t="shared" si="7"/>
        <v>-1</v>
      </c>
      <c r="X13" s="501"/>
    </row>
    <row r="14" spans="1:26" ht="17.100000000000001" customHeight="1" x14ac:dyDescent="0.2">
      <c r="A14" s="288" t="s">
        <v>109</v>
      </c>
      <c r="B14" s="76" t="s">
        <v>110</v>
      </c>
      <c r="C14" s="378">
        <v>877840.68</v>
      </c>
      <c r="D14" s="378">
        <v>909072.9</v>
      </c>
      <c r="E14" s="378">
        <f>214758.9</f>
        <v>214758.9</v>
      </c>
      <c r="F14" s="142"/>
      <c r="G14" s="143">
        <f t="shared" si="0"/>
        <v>-214758.9</v>
      </c>
      <c r="H14" s="144">
        <f t="shared" si="1"/>
        <v>-1</v>
      </c>
      <c r="I14" s="502"/>
      <c r="J14" s="378">
        <f>2034.8+ 435253.06</f>
        <v>437287.86</v>
      </c>
      <c r="K14" s="142"/>
      <c r="L14" s="143">
        <f t="shared" si="2"/>
        <v>-437287.86</v>
      </c>
      <c r="M14" s="144">
        <f t="shared" si="3"/>
        <v>-1</v>
      </c>
      <c r="N14" s="502"/>
      <c r="O14" s="378">
        <v>677635</v>
      </c>
      <c r="P14" s="142"/>
      <c r="Q14" s="143">
        <f t="shared" si="4"/>
        <v>-677635</v>
      </c>
      <c r="R14" s="144">
        <f t="shared" si="5"/>
        <v>-1</v>
      </c>
      <c r="S14" s="502"/>
      <c r="T14" s="142">
        <v>909072.9</v>
      </c>
      <c r="U14" s="142"/>
      <c r="V14" s="143">
        <f t="shared" si="6"/>
        <v>-909072.9</v>
      </c>
      <c r="W14" s="144">
        <f t="shared" si="7"/>
        <v>-1</v>
      </c>
      <c r="X14" s="502"/>
    </row>
    <row r="15" spans="1:26" ht="17.100000000000001" customHeight="1" x14ac:dyDescent="0.2">
      <c r="A15" s="288" t="s">
        <v>111</v>
      </c>
      <c r="B15" s="76" t="s">
        <v>495</v>
      </c>
      <c r="C15" s="378"/>
      <c r="D15" s="378">
        <v>0</v>
      </c>
      <c r="E15" s="378"/>
      <c r="F15" s="142"/>
      <c r="G15" s="143">
        <f t="shared" si="0"/>
        <v>0</v>
      </c>
      <c r="H15" s="144" t="str">
        <f t="shared" si="1"/>
        <v>-</v>
      </c>
      <c r="I15" s="503"/>
      <c r="J15" s="378"/>
      <c r="K15" s="142"/>
      <c r="L15" s="143">
        <f t="shared" si="2"/>
        <v>0</v>
      </c>
      <c r="M15" s="144" t="str">
        <f t="shared" si="3"/>
        <v>-</v>
      </c>
      <c r="N15" s="503"/>
      <c r="O15" s="378">
        <v>0</v>
      </c>
      <c r="P15" s="142"/>
      <c r="Q15" s="143">
        <f t="shared" si="4"/>
        <v>0</v>
      </c>
      <c r="R15" s="144" t="str">
        <f t="shared" si="5"/>
        <v>-</v>
      </c>
      <c r="S15" s="503"/>
      <c r="T15" s="142">
        <v>0</v>
      </c>
      <c r="U15" s="142"/>
      <c r="V15" s="143">
        <f t="shared" si="6"/>
        <v>0</v>
      </c>
      <c r="W15" s="144" t="str">
        <f t="shared" si="7"/>
        <v>-</v>
      </c>
      <c r="X15" s="503"/>
    </row>
    <row r="16" spans="1:26" ht="17.100000000000001" customHeight="1" x14ac:dyDescent="0.2">
      <c r="A16" s="180" t="s">
        <v>112</v>
      </c>
      <c r="B16" s="181" t="s">
        <v>84</v>
      </c>
      <c r="C16" s="377">
        <v>309844.39</v>
      </c>
      <c r="D16" s="377">
        <v>163759.47999999998</v>
      </c>
      <c r="E16" s="377">
        <f>E18</f>
        <v>23577.48</v>
      </c>
      <c r="F16" s="177"/>
      <c r="G16" s="178">
        <f t="shared" si="0"/>
        <v>-23577.48</v>
      </c>
      <c r="H16" s="179">
        <f t="shared" si="1"/>
        <v>-1</v>
      </c>
      <c r="I16" s="501"/>
      <c r="J16" s="377">
        <f>SUM(J17:J18)</f>
        <v>50479.69</v>
      </c>
      <c r="K16" s="177"/>
      <c r="L16" s="178">
        <f t="shared" si="2"/>
        <v>-50479.69</v>
      </c>
      <c r="M16" s="179">
        <f t="shared" si="3"/>
        <v>-1</v>
      </c>
      <c r="N16" s="501"/>
      <c r="O16" s="377">
        <f>SUM(O17:O18)</f>
        <v>138265</v>
      </c>
      <c r="P16" s="177">
        <f>SUM(P17:P18)</f>
        <v>0</v>
      </c>
      <c r="Q16" s="178">
        <f t="shared" si="4"/>
        <v>-138265</v>
      </c>
      <c r="R16" s="179">
        <f t="shared" si="5"/>
        <v>-1</v>
      </c>
      <c r="S16" s="501"/>
      <c r="T16" s="177">
        <v>163759.47999999998</v>
      </c>
      <c r="U16" s="177">
        <f>SUM(U17:U18)</f>
        <v>0</v>
      </c>
      <c r="V16" s="178">
        <f t="shared" si="6"/>
        <v>-163759.47999999998</v>
      </c>
      <c r="W16" s="179">
        <f t="shared" si="7"/>
        <v>-1</v>
      </c>
      <c r="X16" s="501"/>
    </row>
    <row r="17" spans="1:26" ht="17.100000000000001" customHeight="1" x14ac:dyDescent="0.2">
      <c r="A17" s="288" t="s">
        <v>113</v>
      </c>
      <c r="B17" s="145" t="s">
        <v>503</v>
      </c>
      <c r="C17" s="379"/>
      <c r="D17" s="378">
        <v>0</v>
      </c>
      <c r="E17" s="378"/>
      <c r="F17" s="142"/>
      <c r="G17" s="143">
        <f t="shared" si="0"/>
        <v>0</v>
      </c>
      <c r="H17" s="144" t="str">
        <f t="shared" si="1"/>
        <v>-</v>
      </c>
      <c r="I17" s="502"/>
      <c r="J17" s="378"/>
      <c r="K17" s="142"/>
      <c r="L17" s="143">
        <f t="shared" si="2"/>
        <v>0</v>
      </c>
      <c r="M17" s="144" t="str">
        <f t="shared" si="3"/>
        <v>-</v>
      </c>
      <c r="N17" s="502"/>
      <c r="O17" s="378">
        <v>0</v>
      </c>
      <c r="P17" s="142"/>
      <c r="Q17" s="143">
        <f t="shared" si="4"/>
        <v>0</v>
      </c>
      <c r="R17" s="144" t="str">
        <f t="shared" si="5"/>
        <v>-</v>
      </c>
      <c r="S17" s="502"/>
      <c r="T17" s="142">
        <v>0</v>
      </c>
      <c r="U17" s="142"/>
      <c r="V17" s="143">
        <f t="shared" si="6"/>
        <v>0</v>
      </c>
      <c r="W17" s="144" t="str">
        <f t="shared" si="7"/>
        <v>-</v>
      </c>
      <c r="X17" s="502"/>
    </row>
    <row r="18" spans="1:26" ht="17.100000000000001" customHeight="1" x14ac:dyDescent="0.2">
      <c r="A18" s="288" t="s">
        <v>114</v>
      </c>
      <c r="B18" s="76" t="s">
        <v>584</v>
      </c>
      <c r="C18" s="378">
        <v>309844.39</v>
      </c>
      <c r="D18" s="378">
        <v>163759.47999999998</v>
      </c>
      <c r="E18" s="379">
        <v>23577.48</v>
      </c>
      <c r="F18" s="142"/>
      <c r="G18" s="143">
        <f t="shared" si="0"/>
        <v>-23577.48</v>
      </c>
      <c r="H18" s="144">
        <f t="shared" si="1"/>
        <v>-1</v>
      </c>
      <c r="I18" s="502"/>
      <c r="J18" s="378">
        <v>50479.69</v>
      </c>
      <c r="K18" s="142"/>
      <c r="L18" s="143">
        <f t="shared" si="2"/>
        <v>-50479.69</v>
      </c>
      <c r="M18" s="144">
        <f t="shared" si="3"/>
        <v>-1</v>
      </c>
      <c r="N18" s="502"/>
      <c r="O18" s="379">
        <v>138265</v>
      </c>
      <c r="P18" s="142"/>
      <c r="Q18" s="143">
        <f t="shared" si="4"/>
        <v>-138265</v>
      </c>
      <c r="R18" s="144">
        <f t="shared" si="5"/>
        <v>-1</v>
      </c>
      <c r="S18" s="502"/>
      <c r="T18" s="146">
        <v>163759.47999999998</v>
      </c>
      <c r="U18" s="142"/>
      <c r="V18" s="143">
        <f t="shared" si="6"/>
        <v>-163759.47999999998</v>
      </c>
      <c r="W18" s="144">
        <f t="shared" si="7"/>
        <v>-1</v>
      </c>
      <c r="X18" s="502"/>
    </row>
    <row r="19" spans="1:26" s="2" customFormat="1" ht="17.100000000000001" customHeight="1" x14ac:dyDescent="0.2">
      <c r="A19" s="180" t="s">
        <v>115</v>
      </c>
      <c r="B19" s="181" t="s">
        <v>407</v>
      </c>
      <c r="C19" s="377">
        <v>0</v>
      </c>
      <c r="D19" s="377">
        <v>0</v>
      </c>
      <c r="E19" s="377">
        <f t="shared" ref="E19" si="17">SUM(E20:E21)</f>
        <v>0</v>
      </c>
      <c r="F19" s="177"/>
      <c r="G19" s="178">
        <f t="shared" si="0"/>
        <v>0</v>
      </c>
      <c r="H19" s="179" t="str">
        <f t="shared" si="1"/>
        <v>-</v>
      </c>
      <c r="I19" s="501"/>
      <c r="J19" s="377">
        <f t="shared" ref="J19" si="18">SUM(J20:J21)</f>
        <v>0</v>
      </c>
      <c r="K19" s="177"/>
      <c r="L19" s="178">
        <f t="shared" si="2"/>
        <v>0</v>
      </c>
      <c r="M19" s="179" t="str">
        <f t="shared" si="3"/>
        <v>-</v>
      </c>
      <c r="N19" s="501"/>
      <c r="O19" s="377">
        <f t="shared" ref="O19:P19" si="19">SUM(O20:O21)</f>
        <v>0</v>
      </c>
      <c r="P19" s="177">
        <f t="shared" si="19"/>
        <v>0</v>
      </c>
      <c r="Q19" s="178">
        <f t="shared" si="4"/>
        <v>0</v>
      </c>
      <c r="R19" s="179" t="str">
        <f t="shared" si="5"/>
        <v>-</v>
      </c>
      <c r="S19" s="501"/>
      <c r="T19" s="177">
        <v>0</v>
      </c>
      <c r="U19" s="177">
        <f t="shared" ref="U19" si="20">SUM(U20:U21)</f>
        <v>0</v>
      </c>
      <c r="V19" s="178">
        <f t="shared" si="6"/>
        <v>0</v>
      </c>
      <c r="W19" s="179" t="str">
        <f t="shared" si="7"/>
        <v>-</v>
      </c>
      <c r="X19" s="501"/>
      <c r="Z19" s="1"/>
    </row>
    <row r="20" spans="1:26" ht="17.100000000000001" customHeight="1" x14ac:dyDescent="0.2">
      <c r="A20" s="288" t="s">
        <v>408</v>
      </c>
      <c r="B20" s="76" t="s">
        <v>326</v>
      </c>
      <c r="C20" s="378"/>
      <c r="D20" s="378">
        <v>0</v>
      </c>
      <c r="E20" s="378"/>
      <c r="F20" s="142"/>
      <c r="G20" s="143">
        <f t="shared" si="0"/>
        <v>0</v>
      </c>
      <c r="H20" s="144" t="str">
        <f t="shared" si="1"/>
        <v>-</v>
      </c>
      <c r="I20" s="502"/>
      <c r="J20" s="378"/>
      <c r="K20" s="142"/>
      <c r="L20" s="143">
        <f t="shared" si="2"/>
        <v>0</v>
      </c>
      <c r="M20" s="144" t="str">
        <f t="shared" si="3"/>
        <v>-</v>
      </c>
      <c r="N20" s="502"/>
      <c r="O20" s="378">
        <v>0</v>
      </c>
      <c r="P20" s="142"/>
      <c r="Q20" s="143">
        <f t="shared" si="4"/>
        <v>0</v>
      </c>
      <c r="R20" s="144" t="str">
        <f t="shared" si="5"/>
        <v>-</v>
      </c>
      <c r="S20" s="502"/>
      <c r="T20" s="142">
        <v>0</v>
      </c>
      <c r="U20" s="142"/>
      <c r="V20" s="143">
        <f t="shared" si="6"/>
        <v>0</v>
      </c>
      <c r="W20" s="144" t="str">
        <f t="shared" si="7"/>
        <v>-</v>
      </c>
      <c r="X20" s="502"/>
    </row>
    <row r="21" spans="1:26" ht="17.100000000000001" customHeight="1" x14ac:dyDescent="0.2">
      <c r="A21" s="288" t="s">
        <v>409</v>
      </c>
      <c r="B21" s="76" t="s">
        <v>327</v>
      </c>
      <c r="C21" s="378"/>
      <c r="D21" s="378">
        <v>0</v>
      </c>
      <c r="E21" s="378"/>
      <c r="F21" s="142"/>
      <c r="G21" s="143">
        <f t="shared" si="0"/>
        <v>0</v>
      </c>
      <c r="H21" s="144" t="str">
        <f t="shared" si="1"/>
        <v>-</v>
      </c>
      <c r="I21" s="503"/>
      <c r="J21" s="378"/>
      <c r="K21" s="142"/>
      <c r="L21" s="143">
        <f t="shared" si="2"/>
        <v>0</v>
      </c>
      <c r="M21" s="144" t="str">
        <f t="shared" si="3"/>
        <v>-</v>
      </c>
      <c r="N21" s="503"/>
      <c r="O21" s="378">
        <v>0</v>
      </c>
      <c r="P21" s="142"/>
      <c r="Q21" s="143">
        <f t="shared" si="4"/>
        <v>0</v>
      </c>
      <c r="R21" s="144" t="str">
        <f t="shared" si="5"/>
        <v>-</v>
      </c>
      <c r="S21" s="503"/>
      <c r="T21" s="142">
        <v>0</v>
      </c>
      <c r="U21" s="142"/>
      <c r="V21" s="143">
        <f t="shared" si="6"/>
        <v>0</v>
      </c>
      <c r="W21" s="144" t="str">
        <f t="shared" si="7"/>
        <v>-</v>
      </c>
      <c r="X21" s="503"/>
    </row>
    <row r="22" spans="1:26" s="2" customFormat="1" ht="17.100000000000001" customHeight="1" x14ac:dyDescent="0.2">
      <c r="A22" s="180" t="s">
        <v>116</v>
      </c>
      <c r="B22" s="181" t="s">
        <v>153</v>
      </c>
      <c r="C22" s="377">
        <v>1672209.07</v>
      </c>
      <c r="D22" s="377">
        <v>2234673.2781999996</v>
      </c>
      <c r="E22" s="377">
        <f>SUM(E23:E26)</f>
        <v>518201.1</v>
      </c>
      <c r="F22" s="177"/>
      <c r="G22" s="178">
        <f t="shared" si="0"/>
        <v>-518201.1</v>
      </c>
      <c r="H22" s="179">
        <f t="shared" si="1"/>
        <v>-1</v>
      </c>
      <c r="I22" s="501"/>
      <c r="J22" s="377">
        <f t="shared" ref="J22" si="21">SUM(J23:J26)</f>
        <v>963210.66</v>
      </c>
      <c r="K22" s="177"/>
      <c r="L22" s="178">
        <f t="shared" si="2"/>
        <v>-963210.66</v>
      </c>
      <c r="M22" s="179">
        <f t="shared" si="3"/>
        <v>-1</v>
      </c>
      <c r="N22" s="501"/>
      <c r="O22" s="377">
        <f>SUM(O23:O26)</f>
        <v>1653636</v>
      </c>
      <c r="P22" s="177">
        <f t="shared" ref="P22" si="22">SUM(P23:P26)</f>
        <v>0</v>
      </c>
      <c r="Q22" s="178">
        <f t="shared" si="4"/>
        <v>-1653636</v>
      </c>
      <c r="R22" s="179">
        <f t="shared" si="5"/>
        <v>-1</v>
      </c>
      <c r="S22" s="501"/>
      <c r="T22" s="177">
        <v>2234673.2781999996</v>
      </c>
      <c r="U22" s="177">
        <f t="shared" ref="U22" si="23">SUM(U23:U26)</f>
        <v>0</v>
      </c>
      <c r="V22" s="178">
        <f t="shared" si="6"/>
        <v>-2234673.2781999996</v>
      </c>
      <c r="W22" s="179">
        <f t="shared" si="7"/>
        <v>-1</v>
      </c>
      <c r="X22" s="501"/>
      <c r="Z22" s="1"/>
    </row>
    <row r="23" spans="1:26" ht="17.100000000000001" customHeight="1" x14ac:dyDescent="0.2">
      <c r="A23" s="288" t="s">
        <v>251</v>
      </c>
      <c r="B23" s="76" t="s">
        <v>504</v>
      </c>
      <c r="C23" s="378">
        <v>1358072.36</v>
      </c>
      <c r="D23" s="378">
        <v>1872344.56</v>
      </c>
      <c r="E23" s="378">
        <v>435836.92</v>
      </c>
      <c r="F23" s="142"/>
      <c r="G23" s="143">
        <f t="shared" si="0"/>
        <v>-435836.92</v>
      </c>
      <c r="H23" s="144">
        <f t="shared" si="1"/>
        <v>-1</v>
      </c>
      <c r="I23" s="502"/>
      <c r="J23" s="378">
        <v>823238.3</v>
      </c>
      <c r="K23" s="142"/>
      <c r="L23" s="143">
        <f t="shared" si="2"/>
        <v>-823238.3</v>
      </c>
      <c r="M23" s="144">
        <f t="shared" si="3"/>
        <v>-1</v>
      </c>
      <c r="N23" s="502"/>
      <c r="O23" s="378">
        <f>1532549-150000</f>
        <v>1382549</v>
      </c>
      <c r="P23" s="142"/>
      <c r="Q23" s="143">
        <f t="shared" si="4"/>
        <v>-1382549</v>
      </c>
      <c r="R23" s="144">
        <f t="shared" si="5"/>
        <v>-1</v>
      </c>
      <c r="S23" s="502"/>
      <c r="T23" s="142">
        <v>1872344.56</v>
      </c>
      <c r="U23" s="142"/>
      <c r="V23" s="143">
        <f t="shared" si="6"/>
        <v>-1872344.56</v>
      </c>
      <c r="W23" s="144">
        <f t="shared" si="7"/>
        <v>-1</v>
      </c>
      <c r="X23" s="502"/>
    </row>
    <row r="24" spans="1:26" ht="17.100000000000001" customHeight="1" x14ac:dyDescent="0.2">
      <c r="A24" s="288" t="s">
        <v>252</v>
      </c>
      <c r="B24" s="76" t="s">
        <v>505</v>
      </c>
      <c r="C24" s="378"/>
      <c r="D24" s="378">
        <v>0</v>
      </c>
      <c r="E24" s="378"/>
      <c r="F24" s="142"/>
      <c r="G24" s="143">
        <f t="shared" si="0"/>
        <v>0</v>
      </c>
      <c r="H24" s="144" t="str">
        <f t="shared" si="1"/>
        <v>-</v>
      </c>
      <c r="I24" s="502"/>
      <c r="J24" s="378"/>
      <c r="K24" s="142"/>
      <c r="L24" s="143">
        <f t="shared" si="2"/>
        <v>0</v>
      </c>
      <c r="M24" s="144" t="str">
        <f t="shared" si="3"/>
        <v>-</v>
      </c>
      <c r="N24" s="502"/>
      <c r="O24" s="378">
        <v>0</v>
      </c>
      <c r="P24" s="142"/>
      <c r="Q24" s="143">
        <f t="shared" si="4"/>
        <v>0</v>
      </c>
      <c r="R24" s="144" t="str">
        <f t="shared" si="5"/>
        <v>-</v>
      </c>
      <c r="S24" s="502"/>
      <c r="T24" s="142">
        <v>0</v>
      </c>
      <c r="U24" s="142"/>
      <c r="V24" s="143">
        <f t="shared" si="6"/>
        <v>0</v>
      </c>
      <c r="W24" s="144" t="str">
        <f t="shared" si="7"/>
        <v>-</v>
      </c>
      <c r="X24" s="502"/>
    </row>
    <row r="25" spans="1:26" ht="17.100000000000001" customHeight="1" x14ac:dyDescent="0.2">
      <c r="A25" s="288" t="s">
        <v>117</v>
      </c>
      <c r="B25" s="76" t="s">
        <v>506</v>
      </c>
      <c r="C25" s="378">
        <v>49723.710000000021</v>
      </c>
      <c r="D25" s="378">
        <v>62321.189999999988</v>
      </c>
      <c r="E25" s="378">
        <v>16710.14</v>
      </c>
      <c r="F25" s="142"/>
      <c r="G25" s="143">
        <f t="shared" si="0"/>
        <v>-16710.14</v>
      </c>
      <c r="H25" s="144">
        <f t="shared" si="1"/>
        <v>-1</v>
      </c>
      <c r="I25" s="502"/>
      <c r="J25" s="378">
        <v>31987.51</v>
      </c>
      <c r="K25" s="142"/>
      <c r="L25" s="143"/>
      <c r="M25" s="144"/>
      <c r="N25" s="502"/>
      <c r="O25" s="378">
        <v>46197</v>
      </c>
      <c r="P25" s="142"/>
      <c r="Q25" s="143"/>
      <c r="R25" s="144"/>
      <c r="S25" s="502"/>
      <c r="T25" s="142">
        <v>62321.189999999988</v>
      </c>
      <c r="U25" s="142"/>
      <c r="V25" s="143"/>
      <c r="W25" s="144"/>
      <c r="X25" s="502"/>
    </row>
    <row r="26" spans="1:26" ht="17.100000000000001" customHeight="1" x14ac:dyDescent="0.2">
      <c r="A26" s="288" t="s">
        <v>496</v>
      </c>
      <c r="B26" s="76" t="s">
        <v>507</v>
      </c>
      <c r="C26" s="378">
        <v>264413</v>
      </c>
      <c r="D26" s="378">
        <v>300007.5282</v>
      </c>
      <c r="E26" s="378">
        <v>65654.039999999994</v>
      </c>
      <c r="F26" s="142"/>
      <c r="G26" s="143">
        <f t="shared" si="0"/>
        <v>-65654.039999999994</v>
      </c>
      <c r="H26" s="144">
        <f t="shared" si="1"/>
        <v>-1</v>
      </c>
      <c r="I26" s="503"/>
      <c r="J26" s="378">
        <v>107984.85</v>
      </c>
      <c r="K26" s="142"/>
      <c r="L26" s="143">
        <f t="shared" si="2"/>
        <v>-107984.85</v>
      </c>
      <c r="M26" s="144">
        <f t="shared" si="3"/>
        <v>-1</v>
      </c>
      <c r="N26" s="503"/>
      <c r="O26" s="378">
        <v>224890</v>
      </c>
      <c r="P26" s="142"/>
      <c r="Q26" s="143">
        <f t="shared" si="4"/>
        <v>-224890</v>
      </c>
      <c r="R26" s="144">
        <f t="shared" si="5"/>
        <v>-1</v>
      </c>
      <c r="S26" s="503"/>
      <c r="T26" s="142">
        <v>300007.5282</v>
      </c>
      <c r="U26" s="142"/>
      <c r="V26" s="143">
        <f t="shared" si="6"/>
        <v>-300007.5282</v>
      </c>
      <c r="W26" s="144">
        <f t="shared" si="7"/>
        <v>-1</v>
      </c>
      <c r="X26" s="503"/>
    </row>
    <row r="27" spans="1:26" ht="17.100000000000001" customHeight="1" x14ac:dyDescent="0.2">
      <c r="A27" s="147" t="s">
        <v>120</v>
      </c>
      <c r="B27" s="148" t="s">
        <v>4</v>
      </c>
      <c r="C27" s="380">
        <v>286043.28999999998</v>
      </c>
      <c r="D27" s="380">
        <v>351813.4</v>
      </c>
      <c r="E27" s="380">
        <v>82767</v>
      </c>
      <c r="F27" s="149"/>
      <c r="G27" s="150">
        <f t="shared" si="0"/>
        <v>-82767</v>
      </c>
      <c r="H27" s="151">
        <f t="shared" si="1"/>
        <v>-1</v>
      </c>
      <c r="I27" s="152"/>
      <c r="J27" s="380">
        <v>150069</v>
      </c>
      <c r="K27" s="149"/>
      <c r="L27" s="150">
        <f t="shared" si="2"/>
        <v>-150069</v>
      </c>
      <c r="M27" s="151">
        <f t="shared" si="3"/>
        <v>-1</v>
      </c>
      <c r="N27" s="152"/>
      <c r="O27" s="380">
        <v>248105</v>
      </c>
      <c r="P27" s="149"/>
      <c r="Q27" s="150">
        <f t="shared" si="4"/>
        <v>-248105</v>
      </c>
      <c r="R27" s="151">
        <f t="shared" si="5"/>
        <v>-1</v>
      </c>
      <c r="S27" s="152"/>
      <c r="T27" s="149">
        <v>351813.4</v>
      </c>
      <c r="U27" s="149"/>
      <c r="V27" s="150">
        <f t="shared" si="6"/>
        <v>-351813.4</v>
      </c>
      <c r="W27" s="151">
        <f t="shared" si="7"/>
        <v>-1</v>
      </c>
      <c r="X27" s="152"/>
    </row>
    <row r="28" spans="1:26" ht="17.100000000000001" customHeight="1" x14ac:dyDescent="0.2">
      <c r="A28" s="147" t="s">
        <v>121</v>
      </c>
      <c r="B28" s="148" t="s">
        <v>5</v>
      </c>
      <c r="C28" s="380">
        <v>307255.90000000002</v>
      </c>
      <c r="D28" s="380">
        <v>362893.99899999995</v>
      </c>
      <c r="E28" s="380">
        <v>78295.009999999995</v>
      </c>
      <c r="F28" s="149"/>
      <c r="G28" s="150">
        <f t="shared" si="0"/>
        <v>-78295.009999999995</v>
      </c>
      <c r="H28" s="151">
        <f t="shared" si="1"/>
        <v>-1</v>
      </c>
      <c r="I28" s="152"/>
      <c r="J28" s="380">
        <f>157834.33+7</f>
        <v>157841.32999999999</v>
      </c>
      <c r="K28" s="149"/>
      <c r="L28" s="150">
        <f t="shared" si="2"/>
        <v>-157841.32999999999</v>
      </c>
      <c r="M28" s="151">
        <f t="shared" si="3"/>
        <v>-1</v>
      </c>
      <c r="N28" s="152"/>
      <c r="O28" s="380">
        <v>268061</v>
      </c>
      <c r="P28" s="149"/>
      <c r="Q28" s="150">
        <f t="shared" si="4"/>
        <v>-268061</v>
      </c>
      <c r="R28" s="151">
        <f t="shared" si="5"/>
        <v>-1</v>
      </c>
      <c r="S28" s="152"/>
      <c r="T28" s="149">
        <v>362893.99899999995</v>
      </c>
      <c r="U28" s="149"/>
      <c r="V28" s="150">
        <f t="shared" si="6"/>
        <v>-362893.99899999995</v>
      </c>
      <c r="W28" s="151">
        <f t="shared" si="7"/>
        <v>-1</v>
      </c>
      <c r="X28" s="152"/>
    </row>
    <row r="29" spans="1:26" ht="17.100000000000001" customHeight="1" x14ac:dyDescent="0.2">
      <c r="A29" s="147" t="s">
        <v>122</v>
      </c>
      <c r="B29" s="148" t="s">
        <v>6</v>
      </c>
      <c r="C29" s="380"/>
      <c r="D29" s="380">
        <v>0</v>
      </c>
      <c r="E29" s="380"/>
      <c r="F29" s="149"/>
      <c r="G29" s="150">
        <f t="shared" si="0"/>
        <v>0</v>
      </c>
      <c r="H29" s="151" t="str">
        <f t="shared" si="1"/>
        <v>-</v>
      </c>
      <c r="I29" s="152"/>
      <c r="J29" s="380"/>
      <c r="K29" s="149"/>
      <c r="L29" s="150">
        <f t="shared" si="2"/>
        <v>0</v>
      </c>
      <c r="M29" s="151" t="str">
        <f t="shared" si="3"/>
        <v>-</v>
      </c>
      <c r="N29" s="152"/>
      <c r="O29" s="380">
        <v>0</v>
      </c>
      <c r="P29" s="149"/>
      <c r="Q29" s="150">
        <f t="shared" si="4"/>
        <v>0</v>
      </c>
      <c r="R29" s="151" t="str">
        <f t="shared" si="5"/>
        <v>-</v>
      </c>
      <c r="S29" s="152"/>
      <c r="T29" s="149">
        <v>0</v>
      </c>
      <c r="U29" s="149"/>
      <c r="V29" s="150">
        <f t="shared" si="6"/>
        <v>0</v>
      </c>
      <c r="W29" s="151" t="str">
        <f t="shared" si="7"/>
        <v>-</v>
      </c>
      <c r="X29" s="152"/>
    </row>
    <row r="30" spans="1:26" s="3" customFormat="1" ht="17.100000000000001" customHeight="1" x14ac:dyDescent="0.2">
      <c r="A30" s="147" t="s">
        <v>123</v>
      </c>
      <c r="B30" s="153" t="s">
        <v>7</v>
      </c>
      <c r="C30" s="381">
        <v>148992</v>
      </c>
      <c r="D30" s="380">
        <v>181808.24</v>
      </c>
      <c r="E30" s="380">
        <v>44035</v>
      </c>
      <c r="F30" s="149"/>
      <c r="G30" s="150">
        <f t="shared" si="0"/>
        <v>-44035</v>
      </c>
      <c r="H30" s="151">
        <f t="shared" si="1"/>
        <v>-1</v>
      </c>
      <c r="I30" s="152"/>
      <c r="J30" s="380">
        <v>80987</v>
      </c>
      <c r="K30" s="149"/>
      <c r="L30" s="150">
        <f t="shared" si="2"/>
        <v>-80987</v>
      </c>
      <c r="M30" s="151">
        <f t="shared" si="3"/>
        <v>-1</v>
      </c>
      <c r="N30" s="152"/>
      <c r="O30" s="380">
        <v>130983</v>
      </c>
      <c r="P30" s="149"/>
      <c r="Q30" s="150">
        <f t="shared" si="4"/>
        <v>-130983</v>
      </c>
      <c r="R30" s="151">
        <f t="shared" si="5"/>
        <v>-1</v>
      </c>
      <c r="S30" s="152"/>
      <c r="T30" s="149">
        <v>181808.24</v>
      </c>
      <c r="U30" s="149"/>
      <c r="V30" s="150">
        <f t="shared" si="6"/>
        <v>-181808.24</v>
      </c>
      <c r="W30" s="151">
        <f t="shared" si="7"/>
        <v>-1</v>
      </c>
      <c r="X30" s="152"/>
      <c r="Z30" s="1"/>
    </row>
    <row r="31" spans="1:26" s="3" customFormat="1" ht="17.100000000000001" customHeight="1" x14ac:dyDescent="0.2">
      <c r="A31" s="154" t="s">
        <v>124</v>
      </c>
      <c r="B31" s="155" t="s">
        <v>414</v>
      </c>
      <c r="C31" s="382">
        <v>261415.2</v>
      </c>
      <c r="D31" s="383">
        <v>305029.02</v>
      </c>
      <c r="E31" s="383">
        <v>76258.02</v>
      </c>
      <c r="F31" s="156"/>
      <c r="G31" s="157">
        <f t="shared" si="0"/>
        <v>-76258.02</v>
      </c>
      <c r="H31" s="158">
        <f t="shared" si="1"/>
        <v>-1</v>
      </c>
      <c r="I31" s="152"/>
      <c r="J31" s="383">
        <v>152516.04</v>
      </c>
      <c r="K31" s="149"/>
      <c r="L31" s="157">
        <f t="shared" si="2"/>
        <v>-152516.04</v>
      </c>
      <c r="M31" s="158">
        <f t="shared" si="3"/>
        <v>-1</v>
      </c>
      <c r="N31" s="152"/>
      <c r="O31" s="383">
        <v>228772</v>
      </c>
      <c r="P31" s="156"/>
      <c r="Q31" s="157">
        <f t="shared" si="4"/>
        <v>-228772</v>
      </c>
      <c r="R31" s="158">
        <f t="shared" si="5"/>
        <v>-1</v>
      </c>
      <c r="S31" s="152"/>
      <c r="T31" s="156">
        <v>305029.02</v>
      </c>
      <c r="U31" s="156"/>
      <c r="V31" s="157">
        <f t="shared" si="6"/>
        <v>-305029.02</v>
      </c>
      <c r="W31" s="158">
        <f t="shared" si="7"/>
        <v>-1</v>
      </c>
      <c r="X31" s="152"/>
      <c r="Z31" s="1"/>
    </row>
    <row r="32" spans="1:26" ht="17.100000000000001" customHeight="1" x14ac:dyDescent="0.2">
      <c r="A32" s="309" t="s">
        <v>8</v>
      </c>
      <c r="B32" s="310" t="s">
        <v>287</v>
      </c>
      <c r="C32" s="375">
        <v>24047695.460000001</v>
      </c>
      <c r="D32" s="375">
        <v>25907822.130799998</v>
      </c>
      <c r="E32" s="375">
        <f>E33+E58+E140</f>
        <v>6527029.5299999993</v>
      </c>
      <c r="F32" s="311"/>
      <c r="G32" s="312">
        <f t="shared" si="0"/>
        <v>-6527029.5299999993</v>
      </c>
      <c r="H32" s="313">
        <f t="shared" si="1"/>
        <v>-1</v>
      </c>
      <c r="I32" s="314"/>
      <c r="J32" s="375">
        <f>J33+J58+J140</f>
        <v>13045655.879999999</v>
      </c>
      <c r="K32" s="311"/>
      <c r="L32" s="312">
        <f t="shared" si="2"/>
        <v>-13045655.879999999</v>
      </c>
      <c r="M32" s="313">
        <f t="shared" si="3"/>
        <v>-1</v>
      </c>
      <c r="N32" s="314"/>
      <c r="O32" s="375">
        <f>O33+O58+O140</f>
        <v>18768211.336999997</v>
      </c>
      <c r="P32" s="311">
        <f>P33+P58+P140</f>
        <v>0</v>
      </c>
      <c r="Q32" s="312">
        <f t="shared" si="4"/>
        <v>-18768211.336999997</v>
      </c>
      <c r="R32" s="313">
        <f t="shared" si="5"/>
        <v>-1</v>
      </c>
      <c r="S32" s="314"/>
      <c r="T32" s="311">
        <v>25907822.130799998</v>
      </c>
      <c r="U32" s="311">
        <f>U33+U58+U140</f>
        <v>0</v>
      </c>
      <c r="V32" s="312">
        <f t="shared" si="6"/>
        <v>-25907822.130799998</v>
      </c>
      <c r="W32" s="313">
        <f t="shared" si="7"/>
        <v>-1</v>
      </c>
      <c r="X32" s="314"/>
    </row>
    <row r="33" spans="1:26" s="2" customFormat="1" ht="17.100000000000001" customHeight="1" x14ac:dyDescent="0.2">
      <c r="A33" s="281" t="s">
        <v>9</v>
      </c>
      <c r="B33" s="291" t="s">
        <v>10</v>
      </c>
      <c r="C33" s="376">
        <v>14690726.539999999</v>
      </c>
      <c r="D33" s="376">
        <v>15876547.636999998</v>
      </c>
      <c r="E33" s="376">
        <v>3697261.11</v>
      </c>
      <c r="F33" s="282"/>
      <c r="G33" s="283">
        <f t="shared" si="0"/>
        <v>-3697261.11</v>
      </c>
      <c r="H33" s="284">
        <f t="shared" si="1"/>
        <v>-1</v>
      </c>
      <c r="I33" s="285"/>
      <c r="J33" s="376">
        <v>7930366.2800000003</v>
      </c>
      <c r="K33" s="282"/>
      <c r="L33" s="283">
        <f t="shared" si="2"/>
        <v>-7930366.2800000003</v>
      </c>
      <c r="M33" s="284">
        <f t="shared" si="3"/>
        <v>-1</v>
      </c>
      <c r="N33" s="285"/>
      <c r="O33" s="376">
        <v>11727694.176999999</v>
      </c>
      <c r="P33" s="282">
        <f>P34+P50</f>
        <v>0</v>
      </c>
      <c r="Q33" s="283">
        <f t="shared" si="4"/>
        <v>-11727694.176999999</v>
      </c>
      <c r="R33" s="284">
        <f t="shared" si="5"/>
        <v>-1</v>
      </c>
      <c r="S33" s="285"/>
      <c r="T33" s="282">
        <v>15876547.636999998</v>
      </c>
      <c r="U33" s="282">
        <f t="shared" ref="U33" si="24">U34+U50</f>
        <v>0</v>
      </c>
      <c r="V33" s="283">
        <f>U33-T33</f>
        <v>-15876547.636999998</v>
      </c>
      <c r="W33" s="284">
        <f t="shared" si="7"/>
        <v>-1</v>
      </c>
      <c r="X33" s="285"/>
      <c r="Z33" s="1"/>
    </row>
    <row r="34" spans="1:26" s="2" customFormat="1" ht="17.100000000000001" customHeight="1" x14ac:dyDescent="0.2">
      <c r="A34" s="126">
        <v>1100</v>
      </c>
      <c r="B34" s="127" t="s">
        <v>11</v>
      </c>
      <c r="C34" s="377">
        <v>11723439.6</v>
      </c>
      <c r="D34" s="377">
        <v>12652362.24</v>
      </c>
      <c r="E34" s="377">
        <v>2918846.98</v>
      </c>
      <c r="F34" s="377"/>
      <c r="G34" s="178">
        <f t="shared" si="0"/>
        <v>-2918846.98</v>
      </c>
      <c r="H34" s="179">
        <f t="shared" si="1"/>
        <v>-1</v>
      </c>
      <c r="I34" s="342"/>
      <c r="J34" s="377">
        <v>6322510.46</v>
      </c>
      <c r="K34" s="377"/>
      <c r="L34" s="178">
        <f t="shared" si="2"/>
        <v>-6322510.46</v>
      </c>
      <c r="M34" s="179">
        <f t="shared" si="3"/>
        <v>-1</v>
      </c>
      <c r="N34" s="342"/>
      <c r="O34" s="377">
        <v>9339574.8399999999</v>
      </c>
      <c r="P34" s="182">
        <f t="shared" ref="P34" si="25">P35+P39+P49+P48</f>
        <v>0</v>
      </c>
      <c r="Q34" s="178">
        <f t="shared" si="4"/>
        <v>-9339574.8399999999</v>
      </c>
      <c r="R34" s="179">
        <f t="shared" si="5"/>
        <v>-1</v>
      </c>
      <c r="S34" s="342"/>
      <c r="T34" s="377">
        <v>12652362.24</v>
      </c>
      <c r="U34" s="182">
        <f t="shared" ref="U34" si="26">U35+U39+U49+U48</f>
        <v>0</v>
      </c>
      <c r="V34" s="178">
        <f t="shared" si="6"/>
        <v>-12652362.24</v>
      </c>
      <c r="W34" s="179">
        <f t="shared" si="7"/>
        <v>-1</v>
      </c>
      <c r="X34" s="342"/>
      <c r="Z34" s="1"/>
    </row>
    <row r="35" spans="1:26" ht="17.100000000000001" customHeight="1" x14ac:dyDescent="0.2">
      <c r="A35" s="159">
        <v>1110</v>
      </c>
      <c r="B35" s="160" t="s">
        <v>12</v>
      </c>
      <c r="C35" s="384">
        <v>8455377.6999999993</v>
      </c>
      <c r="D35" s="384">
        <v>9358698.2599999998</v>
      </c>
      <c r="E35" s="384">
        <v>2149937.61</v>
      </c>
      <c r="F35" s="384"/>
      <c r="G35" s="143">
        <f t="shared" si="0"/>
        <v>-2149937.61</v>
      </c>
      <c r="H35" s="144">
        <f t="shared" si="1"/>
        <v>-1</v>
      </c>
      <c r="I35" s="500"/>
      <c r="J35" s="384">
        <v>4603185.3099999996</v>
      </c>
      <c r="K35" s="384"/>
      <c r="L35" s="143">
        <f t="shared" si="2"/>
        <v>-4603185.3099999996</v>
      </c>
      <c r="M35" s="144">
        <f t="shared" si="3"/>
        <v>-1</v>
      </c>
      <c r="N35" s="500"/>
      <c r="O35" s="384">
        <v>6941858.9500000002</v>
      </c>
      <c r="P35" s="161">
        <f t="shared" ref="P35" si="27">SUM(P36:P38)</f>
        <v>0</v>
      </c>
      <c r="Q35" s="143">
        <f t="shared" si="4"/>
        <v>-6941858.9500000002</v>
      </c>
      <c r="R35" s="144">
        <f t="shared" si="5"/>
        <v>-1</v>
      </c>
      <c r="S35" s="500"/>
      <c r="T35" s="384">
        <v>9358698.2599999998</v>
      </c>
      <c r="U35" s="161">
        <f t="shared" ref="U35" si="28">SUM(U36:U38)</f>
        <v>0</v>
      </c>
      <c r="V35" s="143">
        <f t="shared" si="6"/>
        <v>-9358698.2599999998</v>
      </c>
      <c r="W35" s="144">
        <f t="shared" si="7"/>
        <v>-1</v>
      </c>
      <c r="X35" s="500"/>
    </row>
    <row r="36" spans="1:26" ht="17.100000000000001" customHeight="1" x14ac:dyDescent="0.2">
      <c r="A36" s="286">
        <v>1111</v>
      </c>
      <c r="B36" s="162" t="s">
        <v>275</v>
      </c>
      <c r="C36" s="142">
        <v>102263.41</v>
      </c>
      <c r="D36" s="378">
        <v>128989.8</v>
      </c>
      <c r="E36" s="378">
        <v>31375.8</v>
      </c>
      <c r="F36" s="142"/>
      <c r="G36" s="143">
        <f t="shared" si="0"/>
        <v>-31375.8</v>
      </c>
      <c r="H36" s="144">
        <f t="shared" si="1"/>
        <v>-1</v>
      </c>
      <c r="I36" s="500"/>
      <c r="J36" s="378">
        <v>64107.5</v>
      </c>
      <c r="K36" s="378"/>
      <c r="L36" s="143">
        <f t="shared" si="2"/>
        <v>-64107.5</v>
      </c>
      <c r="M36" s="144">
        <f t="shared" si="3"/>
        <v>-1</v>
      </c>
      <c r="N36" s="500"/>
      <c r="O36" s="378">
        <v>96451.8</v>
      </c>
      <c r="P36" s="142"/>
      <c r="Q36" s="143">
        <f t="shared" si="4"/>
        <v>-96451.8</v>
      </c>
      <c r="R36" s="144">
        <f t="shared" si="5"/>
        <v>-1</v>
      </c>
      <c r="S36" s="500"/>
      <c r="T36" s="378">
        <v>128989.8</v>
      </c>
      <c r="U36" s="142"/>
      <c r="V36" s="143">
        <f t="shared" si="6"/>
        <v>-128989.8</v>
      </c>
      <c r="W36" s="144">
        <f t="shared" si="7"/>
        <v>-1</v>
      </c>
      <c r="X36" s="500"/>
    </row>
    <row r="37" spans="1:26" ht="17.100000000000001" customHeight="1" x14ac:dyDescent="0.2">
      <c r="A37" s="286">
        <v>1112</v>
      </c>
      <c r="B37" s="162" t="s">
        <v>530</v>
      </c>
      <c r="C37" s="142">
        <v>0</v>
      </c>
      <c r="D37" s="378">
        <v>0</v>
      </c>
      <c r="E37" s="378"/>
      <c r="F37" s="142"/>
      <c r="G37" s="143"/>
      <c r="H37" s="144"/>
      <c r="I37" s="500"/>
      <c r="J37" s="378"/>
      <c r="K37" s="378"/>
      <c r="L37" s="143"/>
      <c r="M37" s="144"/>
      <c r="N37" s="500"/>
      <c r="O37" s="378">
        <v>0</v>
      </c>
      <c r="P37" s="142"/>
      <c r="Q37" s="143"/>
      <c r="R37" s="144"/>
      <c r="S37" s="500"/>
      <c r="T37" s="378">
        <v>0</v>
      </c>
      <c r="U37" s="142"/>
      <c r="V37" s="143"/>
      <c r="W37" s="144"/>
      <c r="X37" s="500"/>
    </row>
    <row r="38" spans="1:26" ht="17.100000000000001" customHeight="1" x14ac:dyDescent="0.2">
      <c r="A38" s="286">
        <v>1113</v>
      </c>
      <c r="B38" s="162" t="s">
        <v>276</v>
      </c>
      <c r="C38" s="142">
        <v>8353114.29</v>
      </c>
      <c r="D38" s="378">
        <v>9229708.4600000009</v>
      </c>
      <c r="E38" s="378">
        <v>2118561.81</v>
      </c>
      <c r="F38" s="142"/>
      <c r="G38" s="143">
        <f t="shared" si="0"/>
        <v>-2118561.81</v>
      </c>
      <c r="H38" s="144">
        <f t="shared" si="1"/>
        <v>-1</v>
      </c>
      <c r="I38" s="500"/>
      <c r="J38" s="378">
        <v>4539077.8099999996</v>
      </c>
      <c r="K38" s="378"/>
      <c r="L38" s="143">
        <f t="shared" si="2"/>
        <v>-4539077.8099999996</v>
      </c>
      <c r="M38" s="144">
        <f t="shared" si="3"/>
        <v>-1</v>
      </c>
      <c r="N38" s="500"/>
      <c r="O38" s="378">
        <v>6845407.1500000013</v>
      </c>
      <c r="P38" s="142"/>
      <c r="Q38" s="143">
        <f t="shared" si="4"/>
        <v>-6845407.1500000013</v>
      </c>
      <c r="R38" s="144">
        <f t="shared" si="5"/>
        <v>-1</v>
      </c>
      <c r="S38" s="500"/>
      <c r="T38" s="378">
        <v>9229708.4600000009</v>
      </c>
      <c r="U38" s="142"/>
      <c r="V38" s="143">
        <f t="shared" si="6"/>
        <v>-9229708.4600000009</v>
      </c>
      <c r="W38" s="144">
        <f t="shared" si="7"/>
        <v>-1</v>
      </c>
      <c r="X38" s="500"/>
    </row>
    <row r="39" spans="1:26" s="287" customFormat="1" ht="17.100000000000001" customHeight="1" x14ac:dyDescent="0.2">
      <c r="A39" s="159">
        <v>1140</v>
      </c>
      <c r="B39" s="166" t="s">
        <v>125</v>
      </c>
      <c r="C39" s="385">
        <v>3191510.64</v>
      </c>
      <c r="D39" s="385">
        <v>3227350</v>
      </c>
      <c r="E39" s="385">
        <v>757580.66999999993</v>
      </c>
      <c r="F39" s="385"/>
      <c r="G39" s="150">
        <f t="shared" si="0"/>
        <v>-757580.66999999993</v>
      </c>
      <c r="H39" s="151">
        <f t="shared" si="1"/>
        <v>-1</v>
      </c>
      <c r="I39" s="501"/>
      <c r="J39" s="385">
        <v>1689131.0000000002</v>
      </c>
      <c r="K39" s="385"/>
      <c r="L39" s="150">
        <f t="shared" si="2"/>
        <v>-1689131.0000000002</v>
      </c>
      <c r="M39" s="151">
        <f t="shared" si="3"/>
        <v>-1</v>
      </c>
      <c r="N39" s="501"/>
      <c r="O39" s="385">
        <v>2352549.61</v>
      </c>
      <c r="P39" s="280">
        <f t="shared" ref="P39" si="29">SUM(P40:P47)</f>
        <v>0</v>
      </c>
      <c r="Q39" s="150">
        <f t="shared" si="4"/>
        <v>-2352549.61</v>
      </c>
      <c r="R39" s="151">
        <f t="shared" si="5"/>
        <v>-1</v>
      </c>
      <c r="S39" s="501"/>
      <c r="T39" s="385">
        <v>3227350</v>
      </c>
      <c r="U39" s="280">
        <f t="shared" ref="U39" si="30">SUM(U40:U47)</f>
        <v>0</v>
      </c>
      <c r="V39" s="150">
        <f t="shared" si="6"/>
        <v>-3227350</v>
      </c>
      <c r="W39" s="151">
        <f t="shared" si="7"/>
        <v>-1</v>
      </c>
      <c r="X39" s="501"/>
      <c r="Z39" s="1"/>
    </row>
    <row r="40" spans="1:26" s="2" customFormat="1" ht="17.100000000000001" customHeight="1" x14ac:dyDescent="0.2">
      <c r="A40" s="286">
        <v>1141</v>
      </c>
      <c r="B40" s="163" t="s">
        <v>118</v>
      </c>
      <c r="C40" s="378">
        <v>534408.93999999994</v>
      </c>
      <c r="D40" s="378">
        <v>589537.81000000006</v>
      </c>
      <c r="E40" s="378">
        <v>138731.74</v>
      </c>
      <c r="F40" s="142"/>
      <c r="G40" s="143">
        <f t="shared" si="0"/>
        <v>-138731.74</v>
      </c>
      <c r="H40" s="144">
        <f t="shared" si="1"/>
        <v>-1</v>
      </c>
      <c r="I40" s="502"/>
      <c r="J40" s="378">
        <v>294408.21999999997</v>
      </c>
      <c r="K40" s="142"/>
      <c r="L40" s="143">
        <f t="shared" si="2"/>
        <v>-294408.21999999997</v>
      </c>
      <c r="M40" s="144">
        <f t="shared" si="3"/>
        <v>-1</v>
      </c>
      <c r="N40" s="502"/>
      <c r="O40" s="378">
        <v>435551.03</v>
      </c>
      <c r="P40" s="142"/>
      <c r="Q40" s="143">
        <f t="shared" si="4"/>
        <v>-435551.03</v>
      </c>
      <c r="R40" s="144">
        <f t="shared" si="5"/>
        <v>-1</v>
      </c>
      <c r="S40" s="502"/>
      <c r="T40" s="378">
        <v>589537.81000000006</v>
      </c>
      <c r="U40" s="142"/>
      <c r="V40" s="143">
        <f t="shared" si="6"/>
        <v>-589537.81000000006</v>
      </c>
      <c r="W40" s="144">
        <f t="shared" si="7"/>
        <v>-1</v>
      </c>
      <c r="X40" s="502"/>
      <c r="Z40" s="1"/>
    </row>
    <row r="41" spans="1:26" s="2" customFormat="1" ht="17.100000000000001" customHeight="1" x14ac:dyDescent="0.2">
      <c r="A41" s="286">
        <v>1142</v>
      </c>
      <c r="B41" s="163" t="s">
        <v>488</v>
      </c>
      <c r="C41" s="378">
        <v>706860.35</v>
      </c>
      <c r="D41" s="378">
        <v>797570.77</v>
      </c>
      <c r="E41" s="378">
        <v>155790.15</v>
      </c>
      <c r="F41" s="142"/>
      <c r="G41" s="143">
        <f t="shared" si="0"/>
        <v>-155790.15</v>
      </c>
      <c r="H41" s="144">
        <f t="shared" si="1"/>
        <v>-1</v>
      </c>
      <c r="I41" s="502"/>
      <c r="J41" s="378">
        <v>465023.59</v>
      </c>
      <c r="K41" s="142"/>
      <c r="L41" s="143">
        <f t="shared" si="2"/>
        <v>-465023.59</v>
      </c>
      <c r="M41" s="144">
        <f t="shared" si="3"/>
        <v>-1</v>
      </c>
      <c r="N41" s="502"/>
      <c r="O41" s="378">
        <v>567678.92000000004</v>
      </c>
      <c r="P41" s="142"/>
      <c r="Q41" s="143">
        <f t="shared" si="4"/>
        <v>-567678.92000000004</v>
      </c>
      <c r="R41" s="144">
        <f t="shared" si="5"/>
        <v>-1</v>
      </c>
      <c r="S41" s="502"/>
      <c r="T41" s="378">
        <v>797570.77</v>
      </c>
      <c r="U41" s="142"/>
      <c r="V41" s="143">
        <f t="shared" si="6"/>
        <v>-797570.77</v>
      </c>
      <c r="W41" s="144">
        <f t="shared" si="7"/>
        <v>-1</v>
      </c>
      <c r="X41" s="502"/>
      <c r="Z41" s="1"/>
    </row>
    <row r="42" spans="1:26" s="2" customFormat="1" ht="17.100000000000001" customHeight="1" x14ac:dyDescent="0.2">
      <c r="A42" s="286">
        <v>1144</v>
      </c>
      <c r="B42" s="163" t="s">
        <v>13</v>
      </c>
      <c r="C42" s="378">
        <v>0</v>
      </c>
      <c r="D42" s="378">
        <v>0</v>
      </c>
      <c r="E42" s="378"/>
      <c r="F42" s="142"/>
      <c r="G42" s="143">
        <f t="shared" si="0"/>
        <v>0</v>
      </c>
      <c r="H42" s="144" t="str">
        <f t="shared" si="1"/>
        <v>-</v>
      </c>
      <c r="I42" s="502"/>
      <c r="J42" s="378"/>
      <c r="K42" s="142"/>
      <c r="L42" s="143">
        <f t="shared" si="2"/>
        <v>0</v>
      </c>
      <c r="M42" s="144" t="str">
        <f t="shared" si="3"/>
        <v>-</v>
      </c>
      <c r="N42" s="502"/>
      <c r="O42" s="378">
        <v>0</v>
      </c>
      <c r="P42" s="142"/>
      <c r="Q42" s="143">
        <f t="shared" si="4"/>
        <v>0</v>
      </c>
      <c r="R42" s="144" t="str">
        <f t="shared" si="5"/>
        <v>-</v>
      </c>
      <c r="S42" s="502"/>
      <c r="T42" s="378">
        <v>0</v>
      </c>
      <c r="U42" s="142"/>
      <c r="V42" s="143">
        <f t="shared" si="6"/>
        <v>0</v>
      </c>
      <c r="W42" s="144" t="str">
        <f t="shared" si="7"/>
        <v>-</v>
      </c>
      <c r="X42" s="502"/>
      <c r="Z42" s="1"/>
    </row>
    <row r="43" spans="1:26" s="2" customFormat="1" ht="17.100000000000001" customHeight="1" x14ac:dyDescent="0.2">
      <c r="A43" s="286">
        <v>1145</v>
      </c>
      <c r="B43" s="163" t="s">
        <v>126</v>
      </c>
      <c r="C43" s="378">
        <v>1508402.58</v>
      </c>
      <c r="D43" s="378">
        <v>1513760.8900000001</v>
      </c>
      <c r="E43" s="378">
        <v>387787.33</v>
      </c>
      <c r="F43" s="142"/>
      <c r="G43" s="143">
        <f t="shared" si="0"/>
        <v>-387787.33</v>
      </c>
      <c r="H43" s="144">
        <f t="shared" si="1"/>
        <v>-1</v>
      </c>
      <c r="I43" s="502"/>
      <c r="J43" s="378">
        <v>740745.26</v>
      </c>
      <c r="K43" s="142"/>
      <c r="L43" s="143">
        <f t="shared" si="2"/>
        <v>-740745.26</v>
      </c>
      <c r="M43" s="144">
        <f t="shared" si="3"/>
        <v>-1</v>
      </c>
      <c r="N43" s="502"/>
      <c r="O43" s="378">
        <v>1106210.78</v>
      </c>
      <c r="P43" s="142"/>
      <c r="Q43" s="143">
        <f t="shared" si="4"/>
        <v>-1106210.78</v>
      </c>
      <c r="R43" s="144">
        <f t="shared" si="5"/>
        <v>-1</v>
      </c>
      <c r="S43" s="502"/>
      <c r="T43" s="378">
        <v>1513760.8900000001</v>
      </c>
      <c r="U43" s="142"/>
      <c r="V43" s="143">
        <f t="shared" si="6"/>
        <v>-1513760.8900000001</v>
      </c>
      <c r="W43" s="144">
        <f t="shared" si="7"/>
        <v>-1</v>
      </c>
      <c r="X43" s="502"/>
      <c r="Z43" s="1"/>
    </row>
    <row r="44" spans="1:26" s="2" customFormat="1" ht="17.100000000000001" customHeight="1" x14ac:dyDescent="0.2">
      <c r="A44" s="286">
        <v>1146</v>
      </c>
      <c r="B44" s="163" t="s">
        <v>14</v>
      </c>
      <c r="C44" s="378">
        <v>63592.1</v>
      </c>
      <c r="D44" s="378">
        <v>69740.27</v>
      </c>
      <c r="E44" s="378">
        <v>17213.03</v>
      </c>
      <c r="F44" s="142"/>
      <c r="G44" s="143">
        <f t="shared" si="0"/>
        <v>-17213.03</v>
      </c>
      <c r="H44" s="144">
        <f t="shared" si="1"/>
        <v>-1</v>
      </c>
      <c r="I44" s="502"/>
      <c r="J44" s="378">
        <v>36837.35</v>
      </c>
      <c r="K44" s="142"/>
      <c r="L44" s="143">
        <f t="shared" si="2"/>
        <v>-36837.35</v>
      </c>
      <c r="M44" s="144">
        <f t="shared" si="3"/>
        <v>-1</v>
      </c>
      <c r="N44" s="502"/>
      <c r="O44" s="378">
        <v>52209.960000000006</v>
      </c>
      <c r="P44" s="142"/>
      <c r="Q44" s="143">
        <f t="shared" si="4"/>
        <v>-52209.960000000006</v>
      </c>
      <c r="R44" s="144">
        <f t="shared" si="5"/>
        <v>-1</v>
      </c>
      <c r="S44" s="502"/>
      <c r="T44" s="378">
        <v>69740.27</v>
      </c>
      <c r="U44" s="142"/>
      <c r="V44" s="143">
        <f t="shared" si="6"/>
        <v>-69740.27</v>
      </c>
      <c r="W44" s="144">
        <f t="shared" si="7"/>
        <v>-1</v>
      </c>
      <c r="X44" s="502"/>
      <c r="Z44" s="1"/>
    </row>
    <row r="45" spans="1:26" s="2" customFormat="1" ht="17.100000000000001" customHeight="1" x14ac:dyDescent="0.2">
      <c r="A45" s="286">
        <v>1147</v>
      </c>
      <c r="B45" s="163" t="s">
        <v>15</v>
      </c>
      <c r="C45" s="378">
        <v>73910.109999999986</v>
      </c>
      <c r="D45" s="378">
        <v>71415.249999999985</v>
      </c>
      <c r="E45" s="378">
        <v>18043.34</v>
      </c>
      <c r="F45" s="142"/>
      <c r="G45" s="143">
        <f t="shared" si="0"/>
        <v>-18043.34</v>
      </c>
      <c r="H45" s="144">
        <f t="shared" si="1"/>
        <v>-1</v>
      </c>
      <c r="I45" s="502"/>
      <c r="J45" s="378">
        <v>36104.54</v>
      </c>
      <c r="K45" s="142"/>
      <c r="L45" s="143">
        <f t="shared" si="2"/>
        <v>-36104.54</v>
      </c>
      <c r="M45" s="144">
        <f t="shared" si="3"/>
        <v>-1</v>
      </c>
      <c r="N45" s="502"/>
      <c r="O45" s="378">
        <v>54009.69999999999</v>
      </c>
      <c r="P45" s="142"/>
      <c r="Q45" s="143">
        <f t="shared" si="4"/>
        <v>-54009.69999999999</v>
      </c>
      <c r="R45" s="144">
        <f t="shared" si="5"/>
        <v>-1</v>
      </c>
      <c r="S45" s="502"/>
      <c r="T45" s="378">
        <v>71415.249999999985</v>
      </c>
      <c r="U45" s="142"/>
      <c r="V45" s="143">
        <f t="shared" si="6"/>
        <v>-71415.249999999985</v>
      </c>
      <c r="W45" s="144">
        <f t="shared" si="7"/>
        <v>-1</v>
      </c>
      <c r="X45" s="502"/>
      <c r="Z45" s="1"/>
    </row>
    <row r="46" spans="1:26" s="2" customFormat="1" ht="17.100000000000001" customHeight="1" x14ac:dyDescent="0.2">
      <c r="A46" s="286">
        <v>1148</v>
      </c>
      <c r="B46" s="163" t="s">
        <v>127</v>
      </c>
      <c r="C46" s="378">
        <v>165806.26999999999</v>
      </c>
      <c r="D46" s="378">
        <v>38252</v>
      </c>
      <c r="E46" s="378">
        <v>2732</v>
      </c>
      <c r="F46" s="142"/>
      <c r="G46" s="143">
        <f t="shared" si="0"/>
        <v>-2732</v>
      </c>
      <c r="H46" s="144">
        <f t="shared" si="1"/>
        <v>-1</v>
      </c>
      <c r="I46" s="502"/>
      <c r="J46" s="378">
        <v>44674.34</v>
      </c>
      <c r="K46" s="142"/>
      <c r="L46" s="143">
        <f t="shared" si="2"/>
        <v>-44674.34</v>
      </c>
      <c r="M46" s="144">
        <f t="shared" si="3"/>
        <v>-1</v>
      </c>
      <c r="N46" s="502"/>
      <c r="O46" s="378">
        <v>38252</v>
      </c>
      <c r="P46" s="142"/>
      <c r="Q46" s="143">
        <f t="shared" si="4"/>
        <v>-38252</v>
      </c>
      <c r="R46" s="144">
        <f t="shared" si="5"/>
        <v>-1</v>
      </c>
      <c r="S46" s="502"/>
      <c r="T46" s="378">
        <v>38252</v>
      </c>
      <c r="U46" s="142"/>
      <c r="V46" s="143">
        <f t="shared" si="6"/>
        <v>-38252</v>
      </c>
      <c r="W46" s="144">
        <f t="shared" si="7"/>
        <v>-1</v>
      </c>
      <c r="X46" s="502"/>
      <c r="Z46" s="1"/>
    </row>
    <row r="47" spans="1:26" s="2" customFormat="1" ht="17.100000000000001" customHeight="1" x14ac:dyDescent="0.2">
      <c r="A47" s="286">
        <v>1149</v>
      </c>
      <c r="B47" s="163" t="s">
        <v>16</v>
      </c>
      <c r="C47" s="378">
        <v>138530.29</v>
      </c>
      <c r="D47" s="379">
        <v>147073.01</v>
      </c>
      <c r="E47" s="379">
        <v>37283.08</v>
      </c>
      <c r="F47" s="142"/>
      <c r="G47" s="164">
        <f t="shared" si="0"/>
        <v>-37283.08</v>
      </c>
      <c r="H47" s="165">
        <f t="shared" si="1"/>
        <v>-1</v>
      </c>
      <c r="I47" s="503"/>
      <c r="J47" s="379">
        <v>71337.7</v>
      </c>
      <c r="K47" s="146"/>
      <c r="L47" s="164">
        <f t="shared" si="2"/>
        <v>-71337.7</v>
      </c>
      <c r="M47" s="165">
        <f t="shared" si="3"/>
        <v>-1</v>
      </c>
      <c r="N47" s="503"/>
      <c r="O47" s="379">
        <v>98637.22</v>
      </c>
      <c r="P47" s="146"/>
      <c r="Q47" s="164">
        <f t="shared" si="4"/>
        <v>-98637.22</v>
      </c>
      <c r="R47" s="165">
        <f t="shared" si="5"/>
        <v>-1</v>
      </c>
      <c r="S47" s="503"/>
      <c r="T47" s="379">
        <v>147073.01</v>
      </c>
      <c r="U47" s="146"/>
      <c r="V47" s="164">
        <f t="shared" si="6"/>
        <v>-147073.01</v>
      </c>
      <c r="W47" s="165">
        <f t="shared" si="7"/>
        <v>-1</v>
      </c>
      <c r="X47" s="503"/>
      <c r="Z47" s="1"/>
    </row>
    <row r="48" spans="1:26" s="2" customFormat="1" x14ac:dyDescent="0.2">
      <c r="A48" s="449">
        <v>1150</v>
      </c>
      <c r="B48" s="166" t="s">
        <v>17</v>
      </c>
      <c r="C48" s="380">
        <v>76551.259999999995</v>
      </c>
      <c r="D48" s="380">
        <v>66313.98</v>
      </c>
      <c r="E48" s="380">
        <v>11328.7</v>
      </c>
      <c r="F48" s="149"/>
      <c r="G48" s="150">
        <f t="shared" si="0"/>
        <v>-11328.7</v>
      </c>
      <c r="H48" s="151">
        <f t="shared" si="1"/>
        <v>-1</v>
      </c>
      <c r="I48" s="152"/>
      <c r="J48" s="380">
        <v>30194.15</v>
      </c>
      <c r="K48" s="149"/>
      <c r="L48" s="150">
        <f t="shared" si="2"/>
        <v>-30194.15</v>
      </c>
      <c r="M48" s="151">
        <f t="shared" si="3"/>
        <v>-1</v>
      </c>
      <c r="N48" s="152"/>
      <c r="O48" s="380">
        <v>45166.28</v>
      </c>
      <c r="P48" s="149"/>
      <c r="Q48" s="150">
        <f t="shared" si="4"/>
        <v>-45166.28</v>
      </c>
      <c r="R48" s="151">
        <f t="shared" si="5"/>
        <v>-1</v>
      </c>
      <c r="S48" s="152"/>
      <c r="T48" s="380">
        <v>66313.98</v>
      </c>
      <c r="U48" s="149"/>
      <c r="V48" s="150">
        <f t="shared" si="6"/>
        <v>-66313.98</v>
      </c>
      <c r="W48" s="151">
        <f t="shared" si="7"/>
        <v>-1</v>
      </c>
      <c r="X48" s="152"/>
      <c r="Z48" s="1"/>
    </row>
    <row r="49" spans="1:26" s="2" customFormat="1" ht="17.100000000000001" customHeight="1" x14ac:dyDescent="0.2">
      <c r="A49" s="159">
        <v>1170</v>
      </c>
      <c r="B49" s="169" t="s">
        <v>18</v>
      </c>
      <c r="C49" s="380">
        <v>0</v>
      </c>
      <c r="D49" s="380">
        <v>0</v>
      </c>
      <c r="E49" s="380"/>
      <c r="F49" s="149"/>
      <c r="G49" s="150">
        <f t="shared" si="0"/>
        <v>0</v>
      </c>
      <c r="H49" s="151" t="str">
        <f t="shared" si="1"/>
        <v>-</v>
      </c>
      <c r="I49" s="152"/>
      <c r="J49" s="380"/>
      <c r="K49" s="149"/>
      <c r="L49" s="150">
        <f t="shared" si="2"/>
        <v>0</v>
      </c>
      <c r="M49" s="151" t="str">
        <f t="shared" si="3"/>
        <v>-</v>
      </c>
      <c r="N49" s="152"/>
      <c r="O49" s="380">
        <v>0</v>
      </c>
      <c r="P49" s="149"/>
      <c r="Q49" s="150">
        <f t="shared" si="4"/>
        <v>0</v>
      </c>
      <c r="R49" s="151" t="str">
        <f t="shared" si="5"/>
        <v>-</v>
      </c>
      <c r="S49" s="152"/>
      <c r="T49" s="380">
        <v>0</v>
      </c>
      <c r="U49" s="149"/>
      <c r="V49" s="150">
        <f t="shared" si="6"/>
        <v>0</v>
      </c>
      <c r="W49" s="151" t="str">
        <f t="shared" si="7"/>
        <v>-</v>
      </c>
      <c r="X49" s="152"/>
      <c r="Z49" s="1"/>
    </row>
    <row r="50" spans="1:26" s="2" customFormat="1" ht="17.100000000000001" customHeight="1" x14ac:dyDescent="0.2">
      <c r="A50" s="126">
        <v>1200</v>
      </c>
      <c r="B50" s="183" t="s">
        <v>19</v>
      </c>
      <c r="C50" s="377">
        <v>2967286.94</v>
      </c>
      <c r="D50" s="377">
        <v>3224185.3969999999</v>
      </c>
      <c r="E50" s="377">
        <v>778414.13</v>
      </c>
      <c r="F50" s="377"/>
      <c r="G50" s="178">
        <f t="shared" si="0"/>
        <v>-778414.13</v>
      </c>
      <c r="H50" s="179">
        <f t="shared" si="1"/>
        <v>-1</v>
      </c>
      <c r="I50" s="188"/>
      <c r="J50" s="377">
        <v>1607855.82</v>
      </c>
      <c r="K50" s="377"/>
      <c r="L50" s="178">
        <f t="shared" si="2"/>
        <v>-1607855.82</v>
      </c>
      <c r="M50" s="179">
        <f t="shared" si="3"/>
        <v>-1</v>
      </c>
      <c r="N50" s="188"/>
      <c r="O50" s="377">
        <v>2388119.3370000003</v>
      </c>
      <c r="P50" s="182">
        <f t="shared" ref="P50" si="31">SUM(P51+P52)</f>
        <v>0</v>
      </c>
      <c r="Q50" s="178">
        <f t="shared" si="4"/>
        <v>-2388119.3370000003</v>
      </c>
      <c r="R50" s="179">
        <f t="shared" si="5"/>
        <v>-1</v>
      </c>
      <c r="S50" s="188"/>
      <c r="T50" s="377">
        <v>3224185.3969999999</v>
      </c>
      <c r="U50" s="182">
        <f t="shared" ref="U50" si="32">SUM(U51+U52)</f>
        <v>0</v>
      </c>
      <c r="V50" s="178">
        <f t="shared" si="6"/>
        <v>-3224185.3969999999</v>
      </c>
      <c r="W50" s="179">
        <f t="shared" si="7"/>
        <v>-1</v>
      </c>
      <c r="X50" s="188"/>
      <c r="Z50" s="1"/>
    </row>
    <row r="51" spans="1:26" s="2" customFormat="1" ht="17.100000000000001" customHeight="1" x14ac:dyDescent="0.2">
      <c r="A51" s="159">
        <v>1210</v>
      </c>
      <c r="B51" s="166" t="s">
        <v>497</v>
      </c>
      <c r="C51" s="380">
        <v>2778363.38</v>
      </c>
      <c r="D51" s="380">
        <v>3003406.5300000003</v>
      </c>
      <c r="E51" s="380">
        <v>699279.39</v>
      </c>
      <c r="F51" s="380"/>
      <c r="G51" s="150">
        <f t="shared" si="0"/>
        <v>-699279.39</v>
      </c>
      <c r="H51" s="151">
        <f t="shared" si="1"/>
        <v>-1</v>
      </c>
      <c r="I51" s="152"/>
      <c r="J51" s="380">
        <v>1500023.6</v>
      </c>
      <c r="K51" s="149"/>
      <c r="L51" s="150">
        <f t="shared" si="2"/>
        <v>-1500023.6</v>
      </c>
      <c r="M51" s="151">
        <f t="shared" si="3"/>
        <v>-1</v>
      </c>
      <c r="N51" s="152"/>
      <c r="O51" s="380">
        <v>2220408.67</v>
      </c>
      <c r="P51" s="149"/>
      <c r="Q51" s="150">
        <f t="shared" si="4"/>
        <v>-2220408.67</v>
      </c>
      <c r="R51" s="151">
        <f t="shared" si="5"/>
        <v>-1</v>
      </c>
      <c r="S51" s="152"/>
      <c r="T51" s="380">
        <v>3003406.5300000003</v>
      </c>
      <c r="U51" s="149"/>
      <c r="V51" s="150">
        <f t="shared" si="6"/>
        <v>-3003406.5300000003</v>
      </c>
      <c r="W51" s="151">
        <f t="shared" si="7"/>
        <v>-1</v>
      </c>
      <c r="X51" s="152"/>
      <c r="Z51" s="1"/>
    </row>
    <row r="52" spans="1:26" s="2" customFormat="1" ht="17.100000000000001" customHeight="1" x14ac:dyDescent="0.2">
      <c r="A52" s="159">
        <v>1220</v>
      </c>
      <c r="B52" s="166" t="s">
        <v>498</v>
      </c>
      <c r="C52" s="385">
        <v>188923.56000000003</v>
      </c>
      <c r="D52" s="385">
        <v>220778.867</v>
      </c>
      <c r="E52" s="385">
        <v>79134.740000000005</v>
      </c>
      <c r="F52" s="385"/>
      <c r="G52" s="150">
        <f t="shared" si="0"/>
        <v>-79134.740000000005</v>
      </c>
      <c r="H52" s="151">
        <f t="shared" si="1"/>
        <v>-1</v>
      </c>
      <c r="I52" s="511"/>
      <c r="J52" s="385">
        <v>107832.22</v>
      </c>
      <c r="K52" s="385"/>
      <c r="L52" s="150">
        <f t="shared" si="2"/>
        <v>-107832.22</v>
      </c>
      <c r="M52" s="151">
        <f t="shared" si="3"/>
        <v>-1</v>
      </c>
      <c r="N52" s="507"/>
      <c r="O52" s="385">
        <v>167710.66699999999</v>
      </c>
      <c r="P52" s="280">
        <f t="shared" ref="P52" si="33">SUM(P53:P57)</f>
        <v>0</v>
      </c>
      <c r="Q52" s="150">
        <f t="shared" si="4"/>
        <v>-167710.66699999999</v>
      </c>
      <c r="R52" s="151">
        <f t="shared" si="5"/>
        <v>-1</v>
      </c>
      <c r="S52" s="507"/>
      <c r="T52" s="385">
        <v>220778.867</v>
      </c>
      <c r="U52" s="280">
        <f t="shared" ref="U52" si="34">SUM(U53:U57)</f>
        <v>0</v>
      </c>
      <c r="V52" s="150">
        <f t="shared" si="6"/>
        <v>-220778.867</v>
      </c>
      <c r="W52" s="151">
        <f t="shared" si="7"/>
        <v>-1</v>
      </c>
      <c r="X52" s="507"/>
      <c r="Z52" s="1"/>
    </row>
    <row r="53" spans="1:26" s="2" customFormat="1" ht="32.450000000000003" customHeight="1" x14ac:dyDescent="0.2">
      <c r="A53" s="286">
        <v>1221</v>
      </c>
      <c r="B53" s="163" t="s">
        <v>20</v>
      </c>
      <c r="C53" s="378">
        <v>188803.56000000003</v>
      </c>
      <c r="D53" s="378">
        <v>220538.867</v>
      </c>
      <c r="E53" s="378">
        <v>79054.740000000005</v>
      </c>
      <c r="F53" s="378"/>
      <c r="G53" s="143">
        <f t="shared" si="0"/>
        <v>-79054.740000000005</v>
      </c>
      <c r="H53" s="144">
        <f t="shared" si="1"/>
        <v>-1</v>
      </c>
      <c r="I53" s="512"/>
      <c r="J53" s="378">
        <v>107692.22</v>
      </c>
      <c r="K53" s="142"/>
      <c r="L53" s="143">
        <f t="shared" si="2"/>
        <v>-107692.22</v>
      </c>
      <c r="M53" s="144">
        <f t="shared" si="3"/>
        <v>-1</v>
      </c>
      <c r="N53" s="508"/>
      <c r="O53" s="378">
        <v>167550.66699999999</v>
      </c>
      <c r="P53" s="142"/>
      <c r="Q53" s="143">
        <f t="shared" si="4"/>
        <v>-167550.66699999999</v>
      </c>
      <c r="R53" s="144">
        <f t="shared" si="5"/>
        <v>-1</v>
      </c>
      <c r="S53" s="508"/>
      <c r="T53" s="378">
        <v>220538.867</v>
      </c>
      <c r="U53" s="142"/>
      <c r="V53" s="143">
        <f t="shared" si="6"/>
        <v>-220538.867</v>
      </c>
      <c r="W53" s="144">
        <f t="shared" si="7"/>
        <v>-1</v>
      </c>
      <c r="X53" s="508"/>
      <c r="Z53" s="1"/>
    </row>
    <row r="54" spans="1:26" s="2" customFormat="1" ht="17.100000000000001" customHeight="1" x14ac:dyDescent="0.2">
      <c r="A54" s="286">
        <v>1222</v>
      </c>
      <c r="B54" s="163" t="s">
        <v>21</v>
      </c>
      <c r="C54" s="378">
        <v>0</v>
      </c>
      <c r="D54" s="378">
        <v>0</v>
      </c>
      <c r="E54" s="378"/>
      <c r="F54" s="142"/>
      <c r="G54" s="143">
        <f t="shared" si="0"/>
        <v>0</v>
      </c>
      <c r="H54" s="144" t="str">
        <f t="shared" si="1"/>
        <v>-</v>
      </c>
      <c r="I54" s="512"/>
      <c r="J54" s="378"/>
      <c r="K54" s="142"/>
      <c r="L54" s="143">
        <f t="shared" si="2"/>
        <v>0</v>
      </c>
      <c r="M54" s="144" t="str">
        <f t="shared" si="3"/>
        <v>-</v>
      </c>
      <c r="N54" s="508"/>
      <c r="O54" s="378">
        <v>0</v>
      </c>
      <c r="P54" s="142"/>
      <c r="Q54" s="143">
        <f t="shared" si="4"/>
        <v>0</v>
      </c>
      <c r="R54" s="144" t="str">
        <f t="shared" si="5"/>
        <v>-</v>
      </c>
      <c r="S54" s="508"/>
      <c r="T54" s="142">
        <v>0</v>
      </c>
      <c r="U54" s="142"/>
      <c r="V54" s="143">
        <f t="shared" si="6"/>
        <v>0</v>
      </c>
      <c r="W54" s="144" t="str">
        <f t="shared" si="7"/>
        <v>-</v>
      </c>
      <c r="X54" s="508"/>
      <c r="Z54" s="1"/>
    </row>
    <row r="55" spans="1:26" s="2" customFormat="1" ht="17.100000000000001" customHeight="1" x14ac:dyDescent="0.2">
      <c r="A55" s="286">
        <v>1223</v>
      </c>
      <c r="B55" s="48" t="s">
        <v>22</v>
      </c>
      <c r="C55" s="378">
        <v>0</v>
      </c>
      <c r="D55" s="378">
        <v>0</v>
      </c>
      <c r="E55" s="378"/>
      <c r="F55" s="142"/>
      <c r="G55" s="143">
        <f t="shared" si="0"/>
        <v>0</v>
      </c>
      <c r="H55" s="144" t="str">
        <f t="shared" si="1"/>
        <v>-</v>
      </c>
      <c r="I55" s="512"/>
      <c r="J55" s="378"/>
      <c r="K55" s="142"/>
      <c r="L55" s="143">
        <f t="shared" si="2"/>
        <v>0</v>
      </c>
      <c r="M55" s="144" t="str">
        <f t="shared" si="3"/>
        <v>-</v>
      </c>
      <c r="N55" s="508"/>
      <c r="O55" s="378">
        <v>0</v>
      </c>
      <c r="P55" s="142"/>
      <c r="Q55" s="143">
        <f t="shared" si="4"/>
        <v>0</v>
      </c>
      <c r="R55" s="144" t="str">
        <f t="shared" si="5"/>
        <v>-</v>
      </c>
      <c r="S55" s="508"/>
      <c r="T55" s="142">
        <v>0</v>
      </c>
      <c r="U55" s="142"/>
      <c r="V55" s="143">
        <f t="shared" si="6"/>
        <v>0</v>
      </c>
      <c r="W55" s="144" t="str">
        <f t="shared" si="7"/>
        <v>-</v>
      </c>
      <c r="X55" s="508"/>
      <c r="Z55" s="1"/>
    </row>
    <row r="56" spans="1:26" s="2" customFormat="1" ht="17.100000000000001" customHeight="1" x14ac:dyDescent="0.2">
      <c r="A56" s="286">
        <v>1227</v>
      </c>
      <c r="B56" s="163" t="s">
        <v>23</v>
      </c>
      <c r="C56" s="378">
        <v>0</v>
      </c>
      <c r="D56" s="378">
        <v>0</v>
      </c>
      <c r="E56" s="378"/>
      <c r="F56" s="142"/>
      <c r="G56" s="143">
        <f t="shared" si="0"/>
        <v>0</v>
      </c>
      <c r="H56" s="144" t="str">
        <f t="shared" si="1"/>
        <v>-</v>
      </c>
      <c r="I56" s="512"/>
      <c r="J56" s="378"/>
      <c r="K56" s="142"/>
      <c r="L56" s="143">
        <f t="shared" si="2"/>
        <v>0</v>
      </c>
      <c r="M56" s="144" t="str">
        <f t="shared" si="3"/>
        <v>-</v>
      </c>
      <c r="N56" s="508"/>
      <c r="O56" s="378">
        <v>0</v>
      </c>
      <c r="P56" s="142"/>
      <c r="Q56" s="143">
        <f t="shared" si="4"/>
        <v>0</v>
      </c>
      <c r="R56" s="144" t="str">
        <f t="shared" si="5"/>
        <v>-</v>
      </c>
      <c r="S56" s="508"/>
      <c r="T56" s="142">
        <v>0</v>
      </c>
      <c r="U56" s="142"/>
      <c r="V56" s="143">
        <f t="shared" si="6"/>
        <v>0</v>
      </c>
      <c r="W56" s="144" t="str">
        <f t="shared" si="7"/>
        <v>-</v>
      </c>
      <c r="X56" s="508"/>
      <c r="Z56" s="1"/>
    </row>
    <row r="57" spans="1:26" s="2" customFormat="1" ht="35.450000000000003" customHeight="1" x14ac:dyDescent="0.2">
      <c r="A57" s="286">
        <v>1228</v>
      </c>
      <c r="B57" s="163" t="s">
        <v>277</v>
      </c>
      <c r="C57" s="378">
        <v>120</v>
      </c>
      <c r="D57" s="378">
        <v>240</v>
      </c>
      <c r="E57" s="378">
        <v>80</v>
      </c>
      <c r="F57" s="142"/>
      <c r="G57" s="143">
        <f t="shared" si="0"/>
        <v>-80</v>
      </c>
      <c r="H57" s="144">
        <f t="shared" si="1"/>
        <v>-1</v>
      </c>
      <c r="I57" s="513"/>
      <c r="J57" s="378">
        <v>140</v>
      </c>
      <c r="K57" s="142"/>
      <c r="L57" s="143">
        <f t="shared" si="2"/>
        <v>-140</v>
      </c>
      <c r="M57" s="144">
        <f t="shared" si="3"/>
        <v>-1</v>
      </c>
      <c r="N57" s="509"/>
      <c r="O57" s="379">
        <v>160</v>
      </c>
      <c r="P57" s="142"/>
      <c r="Q57" s="143">
        <f t="shared" si="4"/>
        <v>-160</v>
      </c>
      <c r="R57" s="144">
        <f t="shared" si="5"/>
        <v>-1</v>
      </c>
      <c r="S57" s="509"/>
      <c r="T57" s="142">
        <v>240</v>
      </c>
      <c r="U57" s="142"/>
      <c r="V57" s="143">
        <f t="shared" si="6"/>
        <v>-240</v>
      </c>
      <c r="W57" s="144">
        <f t="shared" si="7"/>
        <v>-1</v>
      </c>
      <c r="X57" s="509"/>
      <c r="Z57" s="1"/>
    </row>
    <row r="58" spans="1:26" s="2" customFormat="1" ht="17.100000000000001" customHeight="1" x14ac:dyDescent="0.2">
      <c r="A58" s="281">
        <v>2000</v>
      </c>
      <c r="B58" s="291" t="s">
        <v>24</v>
      </c>
      <c r="C58" s="376">
        <v>9356968.9199999999</v>
      </c>
      <c r="D58" s="376">
        <v>10031274.493799997</v>
      </c>
      <c r="E58" s="376">
        <f>E59+E66+E103+E129+E139</f>
        <v>2829768.4199999995</v>
      </c>
      <c r="F58" s="282"/>
      <c r="G58" s="283">
        <f>F58-E58</f>
        <v>-2829768.4199999995</v>
      </c>
      <c r="H58" s="284">
        <f>IFERROR(G58/ABS(E58), "-")</f>
        <v>-1</v>
      </c>
      <c r="I58" s="282"/>
      <c r="J58" s="376">
        <f>J59+J66+J103+J129+J139</f>
        <v>5115289.5999999996</v>
      </c>
      <c r="K58" s="282"/>
      <c r="L58" s="283">
        <f t="shared" si="2"/>
        <v>-5115289.5999999996</v>
      </c>
      <c r="M58" s="284">
        <f t="shared" si="3"/>
        <v>-1</v>
      </c>
      <c r="N58" s="282"/>
      <c r="O58" s="376">
        <f>O59+O66+O103+O129+O139</f>
        <v>7040517.1600000001</v>
      </c>
      <c r="P58" s="282">
        <f>P59+P66+P103+P129+P139</f>
        <v>0</v>
      </c>
      <c r="Q58" s="283">
        <f>P58-O58</f>
        <v>-7040517.1600000001</v>
      </c>
      <c r="R58" s="284">
        <f t="shared" si="5"/>
        <v>-1</v>
      </c>
      <c r="S58" s="282"/>
      <c r="T58" s="282">
        <v>10031274.493799997</v>
      </c>
      <c r="U58" s="282">
        <f>U59+U66+U103+U129+U139</f>
        <v>0</v>
      </c>
      <c r="V58" s="283">
        <f>U58-T58</f>
        <v>-10031274.493799997</v>
      </c>
      <c r="W58" s="284">
        <f t="shared" si="7"/>
        <v>-1</v>
      </c>
      <c r="X58" s="285"/>
      <c r="Z58" s="1"/>
    </row>
    <row r="59" spans="1:26" s="2" customFormat="1" ht="17.100000000000001" customHeight="1" x14ac:dyDescent="0.2">
      <c r="A59" s="126">
        <v>2100</v>
      </c>
      <c r="B59" s="181" t="s">
        <v>128</v>
      </c>
      <c r="C59" s="377">
        <v>8546.73</v>
      </c>
      <c r="D59" s="377">
        <v>2223</v>
      </c>
      <c r="E59" s="377">
        <f>E60+E63</f>
        <v>0</v>
      </c>
      <c r="F59" s="177"/>
      <c r="G59" s="178">
        <f>F59-E59</f>
        <v>0</v>
      </c>
      <c r="H59" s="179" t="str">
        <f t="shared" si="1"/>
        <v>-</v>
      </c>
      <c r="I59" s="188"/>
      <c r="J59" s="377">
        <f>J60+J63</f>
        <v>0</v>
      </c>
      <c r="K59" s="177"/>
      <c r="L59" s="178">
        <f t="shared" si="2"/>
        <v>0</v>
      </c>
      <c r="M59" s="179" t="str">
        <f t="shared" si="3"/>
        <v>-</v>
      </c>
      <c r="N59" s="188"/>
      <c r="O59" s="377">
        <f>O60+O63</f>
        <v>1482</v>
      </c>
      <c r="P59" s="177">
        <f>P60+P63</f>
        <v>0</v>
      </c>
      <c r="Q59" s="178">
        <f t="shared" si="4"/>
        <v>-1482</v>
      </c>
      <c r="R59" s="179">
        <f t="shared" si="5"/>
        <v>-1</v>
      </c>
      <c r="S59" s="188"/>
      <c r="T59" s="177">
        <v>2223</v>
      </c>
      <c r="U59" s="177">
        <f>U60+U63</f>
        <v>0</v>
      </c>
      <c r="V59" s="178">
        <f t="shared" si="6"/>
        <v>-2223</v>
      </c>
      <c r="W59" s="179">
        <f t="shared" si="7"/>
        <v>-1</v>
      </c>
      <c r="X59" s="188"/>
      <c r="Z59" s="1"/>
    </row>
    <row r="60" spans="1:26" s="287" customFormat="1" ht="17.100000000000001" customHeight="1" x14ac:dyDescent="0.2">
      <c r="A60" s="159">
        <v>2110</v>
      </c>
      <c r="B60" s="148" t="s">
        <v>25</v>
      </c>
      <c r="C60" s="385">
        <v>17.91</v>
      </c>
      <c r="D60" s="385">
        <v>0</v>
      </c>
      <c r="E60" s="385">
        <f t="shared" ref="E60" si="35">E61+E62</f>
        <v>0</v>
      </c>
      <c r="F60" s="290"/>
      <c r="G60" s="290">
        <f t="shared" ref="G60:I60" si="36">G61+G62</f>
        <v>0</v>
      </c>
      <c r="H60" s="290">
        <f t="shared" si="36"/>
        <v>0</v>
      </c>
      <c r="I60" s="290">
        <f t="shared" si="36"/>
        <v>0</v>
      </c>
      <c r="J60" s="385">
        <f t="shared" ref="J60" si="37">J61+J62</f>
        <v>0</v>
      </c>
      <c r="K60" s="290"/>
      <c r="L60" s="290">
        <f t="shared" ref="L60" si="38">L61+L62</f>
        <v>0</v>
      </c>
      <c r="M60" s="290">
        <f t="shared" ref="M60" si="39">M61+M62</f>
        <v>0</v>
      </c>
      <c r="N60" s="290">
        <f t="shared" ref="N60" si="40">N61+N62</f>
        <v>0</v>
      </c>
      <c r="O60" s="385">
        <f t="shared" ref="O60:P60" si="41">O61+O62</f>
        <v>0</v>
      </c>
      <c r="P60" s="290">
        <f t="shared" si="41"/>
        <v>0</v>
      </c>
      <c r="Q60" s="290">
        <f t="shared" ref="Q60" si="42">Q61+Q62</f>
        <v>0</v>
      </c>
      <c r="R60" s="290">
        <f t="shared" ref="R60:S60" si="43">R61+R62</f>
        <v>0</v>
      </c>
      <c r="S60" s="290">
        <f t="shared" si="43"/>
        <v>0</v>
      </c>
      <c r="T60" s="290">
        <v>0</v>
      </c>
      <c r="U60" s="290"/>
      <c r="V60" s="150">
        <f t="shared" si="6"/>
        <v>0</v>
      </c>
      <c r="W60" s="151" t="str">
        <f t="shared" si="7"/>
        <v>-</v>
      </c>
      <c r="X60" s="185"/>
      <c r="Z60" s="1"/>
    </row>
    <row r="61" spans="1:26" s="287" customFormat="1" ht="17.100000000000001" customHeight="1" x14ac:dyDescent="0.2">
      <c r="A61" s="286">
        <v>2111</v>
      </c>
      <c r="B61" s="76" t="s">
        <v>531</v>
      </c>
      <c r="C61" s="385"/>
      <c r="D61" s="385">
        <v>0</v>
      </c>
      <c r="E61" s="385"/>
      <c r="F61" s="290"/>
      <c r="G61" s="150"/>
      <c r="H61" s="151"/>
      <c r="I61" s="185"/>
      <c r="J61" s="385"/>
      <c r="K61" s="290"/>
      <c r="L61" s="150"/>
      <c r="M61" s="151"/>
      <c r="N61" s="185"/>
      <c r="O61" s="385">
        <v>0</v>
      </c>
      <c r="P61" s="290"/>
      <c r="Q61" s="150"/>
      <c r="R61" s="151"/>
      <c r="S61" s="185"/>
      <c r="T61" s="290">
        <v>0</v>
      </c>
      <c r="U61" s="290"/>
      <c r="V61" s="150"/>
      <c r="W61" s="151"/>
      <c r="X61" s="185"/>
      <c r="Z61" s="1"/>
    </row>
    <row r="62" spans="1:26" s="287" customFormat="1" ht="17.100000000000001" customHeight="1" x14ac:dyDescent="0.2">
      <c r="A62" s="286">
        <v>2112</v>
      </c>
      <c r="B62" s="76" t="s">
        <v>532</v>
      </c>
      <c r="C62" s="385">
        <v>17.91</v>
      </c>
      <c r="D62" s="385">
        <v>0</v>
      </c>
      <c r="E62" s="385"/>
      <c r="F62" s="290"/>
      <c r="G62" s="150"/>
      <c r="H62" s="151"/>
      <c r="I62" s="185"/>
      <c r="J62" s="385"/>
      <c r="K62" s="290"/>
      <c r="L62" s="150"/>
      <c r="M62" s="151"/>
      <c r="N62" s="185"/>
      <c r="O62" s="385">
        <v>0</v>
      </c>
      <c r="P62" s="290"/>
      <c r="Q62" s="150"/>
      <c r="R62" s="151"/>
      <c r="S62" s="185"/>
      <c r="T62" s="290">
        <v>0</v>
      </c>
      <c r="U62" s="290"/>
      <c r="V62" s="150"/>
      <c r="W62" s="151"/>
      <c r="X62" s="185"/>
      <c r="Z62" s="1"/>
    </row>
    <row r="63" spans="1:26" s="287" customFormat="1" ht="17.100000000000001" customHeight="1" x14ac:dyDescent="0.2">
      <c r="A63" s="159">
        <v>2120</v>
      </c>
      <c r="B63" s="148" t="s">
        <v>26</v>
      </c>
      <c r="C63" s="385">
        <v>8528.82</v>
      </c>
      <c r="D63" s="385">
        <v>2223</v>
      </c>
      <c r="E63" s="385">
        <f t="shared" ref="E63" si="44">E64+E65</f>
        <v>0</v>
      </c>
      <c r="F63" s="290"/>
      <c r="G63" s="290">
        <f t="shared" ref="G63:I63" si="45">G64+G65</f>
        <v>0</v>
      </c>
      <c r="H63" s="290">
        <f t="shared" si="45"/>
        <v>0</v>
      </c>
      <c r="I63" s="290">
        <f t="shared" si="45"/>
        <v>0</v>
      </c>
      <c r="J63" s="385">
        <f t="shared" ref="J63" si="46">J64+J65</f>
        <v>0</v>
      </c>
      <c r="K63" s="290"/>
      <c r="L63" s="290">
        <f t="shared" ref="L63" si="47">L64+L65</f>
        <v>0</v>
      </c>
      <c r="M63" s="290">
        <f t="shared" ref="M63" si="48">M64+M65</f>
        <v>0</v>
      </c>
      <c r="N63" s="290">
        <f t="shared" ref="N63" si="49">N64+N65</f>
        <v>0</v>
      </c>
      <c r="O63" s="385">
        <f t="shared" ref="O63:P63" si="50">O64+O65</f>
        <v>1482</v>
      </c>
      <c r="P63" s="290">
        <f t="shared" si="50"/>
        <v>0</v>
      </c>
      <c r="Q63" s="290">
        <f t="shared" ref="Q63" si="51">Q64+Q65</f>
        <v>0</v>
      </c>
      <c r="R63" s="290">
        <f t="shared" ref="R63" si="52">R64+R65</f>
        <v>0</v>
      </c>
      <c r="S63" s="290">
        <f t="shared" ref="S63" si="53">S64+S65</f>
        <v>0</v>
      </c>
      <c r="T63" s="290">
        <v>2223</v>
      </c>
      <c r="U63" s="290"/>
      <c r="V63" s="150">
        <f t="shared" si="6"/>
        <v>-2223</v>
      </c>
      <c r="W63" s="151">
        <f t="shared" si="7"/>
        <v>-1</v>
      </c>
      <c r="X63" s="185"/>
      <c r="Z63" s="1"/>
    </row>
    <row r="64" spans="1:26" s="287" customFormat="1" ht="17.100000000000001" customHeight="1" x14ac:dyDescent="0.2">
      <c r="A64" s="286">
        <v>2121</v>
      </c>
      <c r="B64" s="76" t="s">
        <v>531</v>
      </c>
      <c r="C64" s="385"/>
      <c r="D64" s="385">
        <v>0</v>
      </c>
      <c r="E64" s="385"/>
      <c r="F64" s="290"/>
      <c r="G64" s="150"/>
      <c r="H64" s="151"/>
      <c r="I64" s="185"/>
      <c r="J64" s="385"/>
      <c r="K64" s="290"/>
      <c r="L64" s="150"/>
      <c r="M64" s="151"/>
      <c r="N64" s="185"/>
      <c r="O64" s="385">
        <v>0</v>
      </c>
      <c r="P64" s="290"/>
      <c r="Q64" s="150"/>
      <c r="R64" s="151"/>
      <c r="S64" s="185"/>
      <c r="T64" s="290">
        <v>0</v>
      </c>
      <c r="U64" s="290"/>
      <c r="V64" s="150"/>
      <c r="W64" s="151"/>
      <c r="X64" s="185"/>
      <c r="Z64" s="1"/>
    </row>
    <row r="65" spans="1:26" s="287" customFormat="1" ht="17.100000000000001" customHeight="1" x14ac:dyDescent="0.2">
      <c r="A65" s="286">
        <v>2122</v>
      </c>
      <c r="B65" s="76" t="s">
        <v>532</v>
      </c>
      <c r="C65" s="385">
        <v>8528.82</v>
      </c>
      <c r="D65" s="385">
        <v>2223</v>
      </c>
      <c r="E65" s="385"/>
      <c r="F65" s="290"/>
      <c r="G65" s="150"/>
      <c r="H65" s="151"/>
      <c r="I65" s="185"/>
      <c r="J65" s="385"/>
      <c r="K65" s="290"/>
      <c r="L65" s="150"/>
      <c r="M65" s="151"/>
      <c r="N65" s="185"/>
      <c r="O65" s="385">
        <v>1482</v>
      </c>
      <c r="P65" s="290"/>
      <c r="Q65" s="150"/>
      <c r="R65" s="151"/>
      <c r="S65" s="185"/>
      <c r="T65" s="290">
        <v>2223</v>
      </c>
      <c r="U65" s="290"/>
      <c r="V65" s="150"/>
      <c r="W65" s="151"/>
      <c r="X65" s="185"/>
      <c r="Z65" s="1"/>
    </row>
    <row r="66" spans="1:26" s="2" customFormat="1" ht="17.100000000000001" customHeight="1" x14ac:dyDescent="0.2">
      <c r="A66" s="126">
        <v>2200</v>
      </c>
      <c r="B66" s="183" t="s">
        <v>27</v>
      </c>
      <c r="C66" s="377">
        <v>2132084.3200000003</v>
      </c>
      <c r="D66" s="377">
        <v>2119679.7199999997</v>
      </c>
      <c r="E66" s="377">
        <f t="shared" ref="E66" si="54">E67+E68+E74+E82+E89+E90+E96+E102</f>
        <v>573200.85999999987</v>
      </c>
      <c r="F66" s="377"/>
      <c r="G66" s="178">
        <f t="shared" si="0"/>
        <v>-573200.85999999987</v>
      </c>
      <c r="H66" s="179">
        <f t="shared" si="1"/>
        <v>-1</v>
      </c>
      <c r="I66" s="188"/>
      <c r="J66" s="377">
        <f>J67+J68+J74+J82+J89+J90+J96+J102</f>
        <v>1018440.1399999999</v>
      </c>
      <c r="K66" s="377"/>
      <c r="L66" s="178">
        <f t="shared" si="2"/>
        <v>-1018440.1399999999</v>
      </c>
      <c r="M66" s="179">
        <f t="shared" si="3"/>
        <v>-1</v>
      </c>
      <c r="N66" s="188"/>
      <c r="O66" s="377">
        <f t="shared" ref="O66:P66" si="55">O67+O68+O74+O82+O89+O90+O96+O102</f>
        <v>1437887</v>
      </c>
      <c r="P66" s="182">
        <f t="shared" si="55"/>
        <v>0</v>
      </c>
      <c r="Q66" s="178">
        <f t="shared" si="4"/>
        <v>-1437887</v>
      </c>
      <c r="R66" s="179">
        <f t="shared" si="5"/>
        <v>-1</v>
      </c>
      <c r="S66" s="188"/>
      <c r="T66" s="182">
        <v>2119679.7199999997</v>
      </c>
      <c r="U66" s="182">
        <f t="shared" ref="U66" si="56">U67+U68+U74+U82+U89+U90+U96+U102</f>
        <v>0</v>
      </c>
      <c r="V66" s="178">
        <f t="shared" si="6"/>
        <v>-2119679.7199999997</v>
      </c>
      <c r="W66" s="179">
        <f t="shared" si="7"/>
        <v>-1</v>
      </c>
      <c r="X66" s="188"/>
      <c r="Z66" s="1"/>
    </row>
    <row r="67" spans="1:26" s="287" customFormat="1" ht="17.100000000000001" customHeight="1" x14ac:dyDescent="0.2">
      <c r="A67" s="159">
        <v>2210</v>
      </c>
      <c r="B67" s="169" t="s">
        <v>328</v>
      </c>
      <c r="C67" s="380">
        <v>16126.05</v>
      </c>
      <c r="D67" s="380">
        <v>17164.260000000002</v>
      </c>
      <c r="E67" s="380">
        <v>3849.92</v>
      </c>
      <c r="F67" s="380"/>
      <c r="G67" s="150">
        <f t="shared" ref="G67:G121" si="57">F67-E67</f>
        <v>-3849.92</v>
      </c>
      <c r="H67" s="151">
        <f t="shared" ref="H67:H121" si="58">IFERROR(G67/ABS(E67), "-")</f>
        <v>-1</v>
      </c>
      <c r="I67" s="292"/>
      <c r="J67" s="380">
        <v>6762.56</v>
      </c>
      <c r="K67" s="380"/>
      <c r="L67" s="150">
        <f t="shared" si="2"/>
        <v>-6762.56</v>
      </c>
      <c r="M67" s="151">
        <f t="shared" si="3"/>
        <v>-1</v>
      </c>
      <c r="N67" s="292"/>
      <c r="O67" s="380">
        <v>13135</v>
      </c>
      <c r="P67" s="167">
        <v>0</v>
      </c>
      <c r="Q67" s="150">
        <f t="shared" si="4"/>
        <v>-13135</v>
      </c>
      <c r="R67" s="151">
        <f t="shared" si="5"/>
        <v>-1</v>
      </c>
      <c r="S67" s="292"/>
      <c r="T67" s="380">
        <v>17164.260000000002</v>
      </c>
      <c r="U67" s="167">
        <v>0</v>
      </c>
      <c r="V67" s="150">
        <f t="shared" si="6"/>
        <v>-17164.260000000002</v>
      </c>
      <c r="W67" s="151">
        <f t="shared" si="7"/>
        <v>-1</v>
      </c>
      <c r="X67" s="292"/>
      <c r="Z67" s="1"/>
    </row>
    <row r="68" spans="1:26" s="287" customFormat="1" ht="17.100000000000001" customHeight="1" x14ac:dyDescent="0.2">
      <c r="A68" s="159">
        <v>2220</v>
      </c>
      <c r="B68" s="166" t="s">
        <v>28</v>
      </c>
      <c r="C68" s="385">
        <v>1107653.3800000001</v>
      </c>
      <c r="D68" s="385">
        <v>1011920.5800000001</v>
      </c>
      <c r="E68" s="385">
        <f t="shared" ref="E68" si="59">SUM(E69:E73)</f>
        <v>326087.32</v>
      </c>
      <c r="F68" s="385"/>
      <c r="G68" s="150">
        <f t="shared" si="57"/>
        <v>-326087.32</v>
      </c>
      <c r="H68" s="151">
        <f t="shared" si="58"/>
        <v>-1</v>
      </c>
      <c r="I68" s="501"/>
      <c r="J68" s="385">
        <f t="shared" ref="J68" si="60">SUM(J69:J73)</f>
        <v>476982.75</v>
      </c>
      <c r="K68" s="385"/>
      <c r="L68" s="150">
        <f t="shared" si="2"/>
        <v>-476982.75</v>
      </c>
      <c r="M68" s="151">
        <f t="shared" si="3"/>
        <v>-1</v>
      </c>
      <c r="N68" s="501"/>
      <c r="O68" s="385">
        <f t="shared" ref="O68:P68" si="61">SUM(O69:O73)</f>
        <v>653622</v>
      </c>
      <c r="P68" s="280">
        <f t="shared" si="61"/>
        <v>0</v>
      </c>
      <c r="Q68" s="150">
        <f t="shared" si="4"/>
        <v>-653622</v>
      </c>
      <c r="R68" s="151">
        <f t="shared" si="5"/>
        <v>-1</v>
      </c>
      <c r="S68" s="501"/>
      <c r="T68" s="385">
        <v>1011920.5800000001</v>
      </c>
      <c r="U68" s="280">
        <f t="shared" ref="U68" si="62">SUM(U69:U73)</f>
        <v>0</v>
      </c>
      <c r="V68" s="150">
        <f t="shared" si="6"/>
        <v>-1011920.5800000001</v>
      </c>
      <c r="W68" s="151">
        <f t="shared" si="7"/>
        <v>-1</v>
      </c>
      <c r="X68" s="501"/>
      <c r="Z68" s="1"/>
    </row>
    <row r="69" spans="1:26" s="2" customFormat="1" ht="17.100000000000001" customHeight="1" x14ac:dyDescent="0.2">
      <c r="A69" s="286">
        <v>2221</v>
      </c>
      <c r="B69" s="163" t="s">
        <v>329</v>
      </c>
      <c r="C69" s="378">
        <v>557811.18000000005</v>
      </c>
      <c r="D69" s="378">
        <v>660239.63</v>
      </c>
      <c r="E69" s="378">
        <v>247815.89</v>
      </c>
      <c r="F69" s="378"/>
      <c r="G69" s="143">
        <f t="shared" si="57"/>
        <v>-247815.89</v>
      </c>
      <c r="H69" s="144">
        <f t="shared" si="58"/>
        <v>-1</v>
      </c>
      <c r="I69" s="502"/>
      <c r="J69" s="378">
        <v>323046.02</v>
      </c>
      <c r="K69" s="142"/>
      <c r="L69" s="143">
        <f t="shared" si="2"/>
        <v>-323046.02</v>
      </c>
      <c r="M69" s="144">
        <f t="shared" si="3"/>
        <v>-1</v>
      </c>
      <c r="N69" s="502"/>
      <c r="O69" s="378">
        <v>416823</v>
      </c>
      <c r="P69" s="142"/>
      <c r="Q69" s="143">
        <f t="shared" si="4"/>
        <v>-416823</v>
      </c>
      <c r="R69" s="144">
        <f t="shared" si="5"/>
        <v>-1</v>
      </c>
      <c r="S69" s="502"/>
      <c r="T69" s="378">
        <v>660239.63</v>
      </c>
      <c r="U69" s="142"/>
      <c r="V69" s="143">
        <f t="shared" si="6"/>
        <v>-660239.63</v>
      </c>
      <c r="W69" s="144">
        <f t="shared" si="7"/>
        <v>-1</v>
      </c>
      <c r="X69" s="502"/>
      <c r="Z69" s="1"/>
    </row>
    <row r="70" spans="1:26" s="4" customFormat="1" ht="17.100000000000001" customHeight="1" x14ac:dyDescent="0.2">
      <c r="A70" s="286">
        <v>2222</v>
      </c>
      <c r="B70" s="163" t="s">
        <v>489</v>
      </c>
      <c r="C70" s="378">
        <v>32105.09</v>
      </c>
      <c r="D70" s="378">
        <v>44493.710000000006</v>
      </c>
      <c r="E70" s="378">
        <v>10853.87</v>
      </c>
      <c r="F70" s="142"/>
      <c r="G70" s="143">
        <f t="shared" si="57"/>
        <v>-10853.87</v>
      </c>
      <c r="H70" s="144">
        <f t="shared" si="58"/>
        <v>-1</v>
      </c>
      <c r="I70" s="502"/>
      <c r="J70" s="378">
        <v>21445.05</v>
      </c>
      <c r="K70" s="142"/>
      <c r="L70" s="143">
        <f t="shared" ref="L70:L134" si="63">K70-J70</f>
        <v>-21445.05</v>
      </c>
      <c r="M70" s="144">
        <f t="shared" ref="M70:M134" si="64">IFERROR(L70/ABS(J70), "-")</f>
        <v>-1</v>
      </c>
      <c r="N70" s="502"/>
      <c r="O70" s="378">
        <v>31980</v>
      </c>
      <c r="P70" s="142"/>
      <c r="Q70" s="143">
        <f t="shared" ref="Q70:Q134" si="65">P70-O70</f>
        <v>-31980</v>
      </c>
      <c r="R70" s="144">
        <f t="shared" ref="R70:R134" si="66">IFERROR(Q70/ABS(O70), "-")</f>
        <v>-1</v>
      </c>
      <c r="S70" s="502"/>
      <c r="T70" s="378">
        <v>44493.710000000006</v>
      </c>
      <c r="U70" s="142"/>
      <c r="V70" s="143">
        <f t="shared" ref="V70:V134" si="67">U70-T70</f>
        <v>-44493.710000000006</v>
      </c>
      <c r="W70" s="144">
        <f t="shared" ref="W70:W134" si="68">IFERROR(V70/ABS(T70), "-")</f>
        <v>-1</v>
      </c>
      <c r="X70" s="502"/>
      <c r="Z70" s="1"/>
    </row>
    <row r="71" spans="1:26" s="2" customFormat="1" ht="17.100000000000001" customHeight="1" x14ac:dyDescent="0.2">
      <c r="A71" s="286">
        <v>2223</v>
      </c>
      <c r="B71" s="163" t="s">
        <v>29</v>
      </c>
      <c r="C71" s="378">
        <v>437827.84000000003</v>
      </c>
      <c r="D71" s="378">
        <v>223466.14</v>
      </c>
      <c r="E71" s="378">
        <v>46233.14</v>
      </c>
      <c r="F71" s="142"/>
      <c r="G71" s="143">
        <f t="shared" si="57"/>
        <v>-46233.14</v>
      </c>
      <c r="H71" s="144">
        <f t="shared" si="58"/>
        <v>-1</v>
      </c>
      <c r="I71" s="502"/>
      <c r="J71" s="378">
        <v>91193.43</v>
      </c>
      <c r="K71" s="142"/>
      <c r="L71" s="143">
        <f t="shared" si="63"/>
        <v>-91193.43</v>
      </c>
      <c r="M71" s="144">
        <f t="shared" si="64"/>
        <v>-1</v>
      </c>
      <c r="N71" s="502"/>
      <c r="O71" s="379">
        <v>143529</v>
      </c>
      <c r="P71" s="142"/>
      <c r="Q71" s="143">
        <f t="shared" si="65"/>
        <v>-143529</v>
      </c>
      <c r="R71" s="144">
        <f t="shared" si="66"/>
        <v>-1</v>
      </c>
      <c r="S71" s="502"/>
      <c r="T71" s="379">
        <v>223466.14</v>
      </c>
      <c r="U71" s="142"/>
      <c r="V71" s="143">
        <f t="shared" si="67"/>
        <v>-223466.14</v>
      </c>
      <c r="W71" s="144">
        <f t="shared" si="68"/>
        <v>-1</v>
      </c>
      <c r="X71" s="502"/>
      <c r="Z71" s="1"/>
    </row>
    <row r="72" spans="1:26" s="2" customFormat="1" ht="30.6" customHeight="1" x14ac:dyDescent="0.2">
      <c r="A72" s="286">
        <v>2224</v>
      </c>
      <c r="B72" s="163" t="s">
        <v>129</v>
      </c>
      <c r="C72" s="378">
        <v>79909.27</v>
      </c>
      <c r="D72" s="378">
        <v>83721.099999999991</v>
      </c>
      <c r="E72" s="378">
        <v>21184.42</v>
      </c>
      <c r="F72" s="142"/>
      <c r="G72" s="143">
        <f t="shared" si="57"/>
        <v>-21184.42</v>
      </c>
      <c r="H72" s="144">
        <f t="shared" si="58"/>
        <v>-1</v>
      </c>
      <c r="I72" s="502"/>
      <c r="J72" s="378">
        <v>41298.25</v>
      </c>
      <c r="K72" s="142"/>
      <c r="L72" s="143">
        <f t="shared" si="63"/>
        <v>-41298.25</v>
      </c>
      <c r="M72" s="144">
        <f t="shared" si="64"/>
        <v>-1</v>
      </c>
      <c r="N72" s="502"/>
      <c r="O72" s="378">
        <v>61290</v>
      </c>
      <c r="P72" s="142"/>
      <c r="Q72" s="143">
        <f t="shared" si="65"/>
        <v>-61290</v>
      </c>
      <c r="R72" s="144">
        <f t="shared" si="66"/>
        <v>-1</v>
      </c>
      <c r="S72" s="502"/>
      <c r="T72" s="378">
        <v>83721.099999999991</v>
      </c>
      <c r="U72" s="142"/>
      <c r="V72" s="143">
        <f t="shared" si="67"/>
        <v>-83721.099999999991</v>
      </c>
      <c r="W72" s="144">
        <f t="shared" si="68"/>
        <v>-1</v>
      </c>
      <c r="X72" s="502"/>
      <c r="Z72" s="1"/>
    </row>
    <row r="73" spans="1:26" s="2" customFormat="1" x14ac:dyDescent="0.2">
      <c r="A73" s="286">
        <v>2229</v>
      </c>
      <c r="B73" s="163" t="s">
        <v>30</v>
      </c>
      <c r="C73" s="378"/>
      <c r="D73" s="378">
        <v>0</v>
      </c>
      <c r="E73" s="378"/>
      <c r="F73" s="142"/>
      <c r="G73" s="143">
        <f t="shared" si="57"/>
        <v>0</v>
      </c>
      <c r="H73" s="144" t="str">
        <f t="shared" si="58"/>
        <v>-</v>
      </c>
      <c r="I73" s="503"/>
      <c r="J73" s="378"/>
      <c r="K73" s="142"/>
      <c r="L73" s="143">
        <f t="shared" si="63"/>
        <v>0</v>
      </c>
      <c r="M73" s="144" t="str">
        <f t="shared" si="64"/>
        <v>-</v>
      </c>
      <c r="N73" s="503"/>
      <c r="O73" s="378">
        <v>0</v>
      </c>
      <c r="P73" s="142"/>
      <c r="Q73" s="143">
        <f t="shared" si="65"/>
        <v>0</v>
      </c>
      <c r="R73" s="144" t="str">
        <f t="shared" si="66"/>
        <v>-</v>
      </c>
      <c r="S73" s="503"/>
      <c r="T73" s="378">
        <v>0</v>
      </c>
      <c r="U73" s="142"/>
      <c r="V73" s="143">
        <f t="shared" si="67"/>
        <v>0</v>
      </c>
      <c r="W73" s="144" t="str">
        <f t="shared" si="68"/>
        <v>-</v>
      </c>
      <c r="X73" s="503"/>
      <c r="Z73" s="1"/>
    </row>
    <row r="74" spans="1:26" s="287" customFormat="1" ht="29.45" customHeight="1" x14ac:dyDescent="0.2">
      <c r="A74" s="159">
        <v>2230</v>
      </c>
      <c r="B74" s="166" t="s">
        <v>490</v>
      </c>
      <c r="C74" s="385">
        <v>470775.99</v>
      </c>
      <c r="D74" s="385">
        <v>488994.16</v>
      </c>
      <c r="E74" s="385">
        <f t="shared" ref="E74" si="69">SUM(E75:E81)</f>
        <v>120108.72</v>
      </c>
      <c r="F74" s="385"/>
      <c r="G74" s="150">
        <f t="shared" si="57"/>
        <v>-120108.72</v>
      </c>
      <c r="H74" s="151">
        <f t="shared" si="58"/>
        <v>-1</v>
      </c>
      <c r="I74" s="501"/>
      <c r="J74" s="385">
        <f t="shared" ref="J74" si="70">SUM(J75:J81)</f>
        <v>235020.80000000002</v>
      </c>
      <c r="K74" s="385"/>
      <c r="L74" s="150">
        <f t="shared" si="63"/>
        <v>-235020.80000000002</v>
      </c>
      <c r="M74" s="151">
        <f t="shared" si="64"/>
        <v>-1</v>
      </c>
      <c r="N74" s="501"/>
      <c r="O74" s="385">
        <f t="shared" ref="O74:P74" si="71">SUM(O75:O81)</f>
        <v>364832</v>
      </c>
      <c r="P74" s="280">
        <f t="shared" si="71"/>
        <v>0</v>
      </c>
      <c r="Q74" s="150">
        <f t="shared" si="65"/>
        <v>-364832</v>
      </c>
      <c r="R74" s="151">
        <f t="shared" si="66"/>
        <v>-1</v>
      </c>
      <c r="S74" s="501"/>
      <c r="T74" s="385">
        <v>488994.16</v>
      </c>
      <c r="U74" s="280">
        <f t="shared" ref="U74" si="72">SUM(U75:U81)</f>
        <v>0</v>
      </c>
      <c r="V74" s="150">
        <f t="shared" si="67"/>
        <v>-488994.16</v>
      </c>
      <c r="W74" s="151">
        <f t="shared" si="68"/>
        <v>-1</v>
      </c>
      <c r="X74" s="501"/>
      <c r="Z74" s="1"/>
    </row>
    <row r="75" spans="1:26" s="4" customFormat="1" ht="17.100000000000001" customHeight="1" x14ac:dyDescent="0.2">
      <c r="A75" s="286">
        <v>2231</v>
      </c>
      <c r="B75" s="163" t="s">
        <v>330</v>
      </c>
      <c r="C75" s="378"/>
      <c r="D75" s="378">
        <v>0</v>
      </c>
      <c r="E75" s="378"/>
      <c r="F75" s="378"/>
      <c r="G75" s="143">
        <f t="shared" si="57"/>
        <v>0</v>
      </c>
      <c r="H75" s="144" t="str">
        <f t="shared" si="58"/>
        <v>-</v>
      </c>
      <c r="I75" s="502"/>
      <c r="J75" s="378"/>
      <c r="K75" s="142"/>
      <c r="L75" s="143">
        <f t="shared" si="63"/>
        <v>0</v>
      </c>
      <c r="M75" s="144" t="str">
        <f t="shared" si="64"/>
        <v>-</v>
      </c>
      <c r="N75" s="502"/>
      <c r="O75" s="378">
        <v>0</v>
      </c>
      <c r="P75" s="142"/>
      <c r="Q75" s="143">
        <f t="shared" si="65"/>
        <v>0</v>
      </c>
      <c r="R75" s="144" t="str">
        <f t="shared" si="66"/>
        <v>-</v>
      </c>
      <c r="S75" s="502"/>
      <c r="T75" s="378">
        <v>0</v>
      </c>
      <c r="U75" s="142"/>
      <c r="V75" s="143">
        <f t="shared" si="67"/>
        <v>0</v>
      </c>
      <c r="W75" s="144" t="str">
        <f t="shared" si="68"/>
        <v>-</v>
      </c>
      <c r="X75" s="502"/>
      <c r="Z75" s="1"/>
    </row>
    <row r="76" spans="1:26" s="2" customFormat="1" ht="17.100000000000001" customHeight="1" x14ac:dyDescent="0.2">
      <c r="A76" s="286">
        <v>2232</v>
      </c>
      <c r="B76" s="163" t="s">
        <v>331</v>
      </c>
      <c r="C76" s="378"/>
      <c r="D76" s="378">
        <v>0</v>
      </c>
      <c r="E76" s="378"/>
      <c r="F76" s="378"/>
      <c r="G76" s="143">
        <f t="shared" si="57"/>
        <v>0</v>
      </c>
      <c r="H76" s="144" t="str">
        <f t="shared" si="58"/>
        <v>-</v>
      </c>
      <c r="I76" s="502"/>
      <c r="J76" s="378"/>
      <c r="K76" s="142"/>
      <c r="L76" s="143">
        <f t="shared" si="63"/>
        <v>0</v>
      </c>
      <c r="M76" s="144" t="str">
        <f t="shared" si="64"/>
        <v>-</v>
      </c>
      <c r="N76" s="502"/>
      <c r="O76" s="378">
        <v>0</v>
      </c>
      <c r="P76" s="142"/>
      <c r="Q76" s="143">
        <f t="shared" si="65"/>
        <v>0</v>
      </c>
      <c r="R76" s="144" t="str">
        <f t="shared" si="66"/>
        <v>-</v>
      </c>
      <c r="S76" s="502"/>
      <c r="T76" s="378">
        <v>0</v>
      </c>
      <c r="U76" s="142"/>
      <c r="V76" s="143">
        <f t="shared" si="67"/>
        <v>0</v>
      </c>
      <c r="W76" s="144" t="str">
        <f t="shared" si="68"/>
        <v>-</v>
      </c>
      <c r="X76" s="502"/>
      <c r="Z76" s="1"/>
    </row>
    <row r="77" spans="1:26" s="2" customFormat="1" ht="17.100000000000001" customHeight="1" x14ac:dyDescent="0.2">
      <c r="A77" s="286">
        <v>2233</v>
      </c>
      <c r="B77" s="163" t="s">
        <v>31</v>
      </c>
      <c r="C77" s="378">
        <v>4469.22</v>
      </c>
      <c r="D77" s="378">
        <v>6365.8099999999995</v>
      </c>
      <c r="E77" s="378">
        <v>2677.56</v>
      </c>
      <c r="F77" s="378"/>
      <c r="G77" s="143">
        <f t="shared" si="57"/>
        <v>-2677.56</v>
      </c>
      <c r="H77" s="144">
        <f t="shared" si="58"/>
        <v>-1</v>
      </c>
      <c r="I77" s="502"/>
      <c r="J77" s="378">
        <v>3402.28</v>
      </c>
      <c r="K77" s="142"/>
      <c r="L77" s="143">
        <f t="shared" si="63"/>
        <v>-3402.28</v>
      </c>
      <c r="M77" s="144">
        <f t="shared" si="64"/>
        <v>-1</v>
      </c>
      <c r="N77" s="502"/>
      <c r="O77" s="378">
        <v>4894</v>
      </c>
      <c r="P77" s="142"/>
      <c r="Q77" s="143">
        <f t="shared" si="65"/>
        <v>-4894</v>
      </c>
      <c r="R77" s="144">
        <f t="shared" si="66"/>
        <v>-1</v>
      </c>
      <c r="S77" s="502"/>
      <c r="T77" s="378">
        <v>6365.8099999999995</v>
      </c>
      <c r="U77" s="142"/>
      <c r="V77" s="143">
        <f t="shared" si="67"/>
        <v>-6365.8099999999995</v>
      </c>
      <c r="W77" s="144">
        <f t="shared" si="68"/>
        <v>-1</v>
      </c>
      <c r="X77" s="502"/>
      <c r="Z77" s="1"/>
    </row>
    <row r="78" spans="1:26" s="2" customFormat="1" ht="17.100000000000001" customHeight="1" x14ac:dyDescent="0.2">
      <c r="A78" s="286">
        <v>2234</v>
      </c>
      <c r="B78" s="163" t="s">
        <v>491</v>
      </c>
      <c r="C78" s="378"/>
      <c r="D78" s="378">
        <v>0</v>
      </c>
      <c r="E78" s="378"/>
      <c r="F78" s="378"/>
      <c r="G78" s="143">
        <f t="shared" si="57"/>
        <v>0</v>
      </c>
      <c r="H78" s="144" t="str">
        <f t="shared" si="58"/>
        <v>-</v>
      </c>
      <c r="I78" s="502"/>
      <c r="J78" s="378"/>
      <c r="K78" s="142"/>
      <c r="L78" s="143">
        <f t="shared" si="63"/>
        <v>0</v>
      </c>
      <c r="M78" s="144" t="str">
        <f t="shared" si="64"/>
        <v>-</v>
      </c>
      <c r="N78" s="502"/>
      <c r="O78" s="378">
        <v>0</v>
      </c>
      <c r="P78" s="142"/>
      <c r="Q78" s="143">
        <f t="shared" si="65"/>
        <v>0</v>
      </c>
      <c r="R78" s="144" t="str">
        <f t="shared" si="66"/>
        <v>-</v>
      </c>
      <c r="S78" s="502"/>
      <c r="T78" s="378">
        <v>0</v>
      </c>
      <c r="U78" s="142"/>
      <c r="V78" s="143">
        <f t="shared" si="67"/>
        <v>0</v>
      </c>
      <c r="W78" s="144" t="str">
        <f t="shared" si="68"/>
        <v>-</v>
      </c>
      <c r="X78" s="502"/>
      <c r="Z78" s="1"/>
    </row>
    <row r="79" spans="1:26" s="2" customFormat="1" ht="17.100000000000001" customHeight="1" x14ac:dyDescent="0.2">
      <c r="A79" s="286">
        <v>2235</v>
      </c>
      <c r="B79" s="163" t="s">
        <v>332</v>
      </c>
      <c r="C79" s="378">
        <v>4013.65</v>
      </c>
      <c r="D79" s="378">
        <v>2040.73</v>
      </c>
      <c r="E79" s="378">
        <v>773.73</v>
      </c>
      <c r="F79" s="378"/>
      <c r="G79" s="143">
        <f t="shared" si="57"/>
        <v>-773.73</v>
      </c>
      <c r="H79" s="144">
        <f t="shared" si="58"/>
        <v>-1</v>
      </c>
      <c r="I79" s="502"/>
      <c r="J79" s="378">
        <v>2041</v>
      </c>
      <c r="K79" s="142"/>
      <c r="L79" s="143">
        <f t="shared" si="63"/>
        <v>-2041</v>
      </c>
      <c r="M79" s="144">
        <f t="shared" si="64"/>
        <v>-1</v>
      </c>
      <c r="N79" s="502"/>
      <c r="O79" s="379">
        <v>2041</v>
      </c>
      <c r="P79" s="142"/>
      <c r="Q79" s="143">
        <f t="shared" si="65"/>
        <v>-2041</v>
      </c>
      <c r="R79" s="144">
        <f t="shared" si="66"/>
        <v>-1</v>
      </c>
      <c r="S79" s="502"/>
      <c r="T79" s="379">
        <v>2040.73</v>
      </c>
      <c r="U79" s="142"/>
      <c r="V79" s="143">
        <f t="shared" si="67"/>
        <v>-2040.73</v>
      </c>
      <c r="W79" s="144">
        <f t="shared" si="68"/>
        <v>-1</v>
      </c>
      <c r="X79" s="502"/>
      <c r="Z79" s="1"/>
    </row>
    <row r="80" spans="1:26" s="2" customFormat="1" ht="17.100000000000001" customHeight="1" x14ac:dyDescent="0.2">
      <c r="A80" s="286">
        <v>2236</v>
      </c>
      <c r="B80" s="163" t="s">
        <v>333</v>
      </c>
      <c r="C80" s="378">
        <v>9489.42</v>
      </c>
      <c r="D80" s="378">
        <v>9028.69</v>
      </c>
      <c r="E80" s="378">
        <v>2155.02</v>
      </c>
      <c r="F80" s="378"/>
      <c r="G80" s="143">
        <f t="shared" si="57"/>
        <v>-2155.02</v>
      </c>
      <c r="H80" s="144">
        <f t="shared" si="58"/>
        <v>-1</v>
      </c>
      <c r="I80" s="502"/>
      <c r="J80" s="378">
        <v>4281.42</v>
      </c>
      <c r="K80" s="142"/>
      <c r="L80" s="143">
        <f t="shared" si="63"/>
        <v>-4281.42</v>
      </c>
      <c r="M80" s="144">
        <f t="shared" si="64"/>
        <v>-1</v>
      </c>
      <c r="N80" s="502"/>
      <c r="O80" s="378">
        <v>6865</v>
      </c>
      <c r="P80" s="142"/>
      <c r="Q80" s="143">
        <f t="shared" si="65"/>
        <v>-6865</v>
      </c>
      <c r="R80" s="144">
        <f t="shared" si="66"/>
        <v>-1</v>
      </c>
      <c r="S80" s="502"/>
      <c r="T80" s="378">
        <v>9028.69</v>
      </c>
      <c r="U80" s="142"/>
      <c r="V80" s="143">
        <f t="shared" si="67"/>
        <v>-9028.69</v>
      </c>
      <c r="W80" s="144">
        <f t="shared" si="68"/>
        <v>-1</v>
      </c>
      <c r="X80" s="502"/>
      <c r="Z80" s="1"/>
    </row>
    <row r="81" spans="1:26" s="2" customFormat="1" ht="29.25" customHeight="1" x14ac:dyDescent="0.2">
      <c r="A81" s="286">
        <v>2239</v>
      </c>
      <c r="B81" s="163" t="s">
        <v>334</v>
      </c>
      <c r="C81" s="378">
        <v>452803.7</v>
      </c>
      <c r="D81" s="378">
        <v>471558.93</v>
      </c>
      <c r="E81" s="378">
        <f>114496.41+6</f>
        <v>114502.41</v>
      </c>
      <c r="F81" s="378"/>
      <c r="G81" s="143">
        <f t="shared" si="57"/>
        <v>-114502.41</v>
      </c>
      <c r="H81" s="144">
        <f t="shared" si="58"/>
        <v>-1</v>
      </c>
      <c r="I81" s="503"/>
      <c r="J81" s="378">
        <f>225290.1+6</f>
        <v>225296.1</v>
      </c>
      <c r="K81" s="142"/>
      <c r="L81" s="143">
        <f t="shared" si="63"/>
        <v>-225296.1</v>
      </c>
      <c r="M81" s="144">
        <f t="shared" si="64"/>
        <v>-1</v>
      </c>
      <c r="N81" s="503"/>
      <c r="O81" s="378">
        <v>351032</v>
      </c>
      <c r="P81" s="142"/>
      <c r="Q81" s="143">
        <f t="shared" si="65"/>
        <v>-351032</v>
      </c>
      <c r="R81" s="144">
        <f t="shared" si="66"/>
        <v>-1</v>
      </c>
      <c r="S81" s="503"/>
      <c r="T81" s="378">
        <v>471558.93</v>
      </c>
      <c r="U81" s="142"/>
      <c r="V81" s="143">
        <f t="shared" si="67"/>
        <v>-471558.93</v>
      </c>
      <c r="W81" s="144">
        <f t="shared" si="68"/>
        <v>-1</v>
      </c>
      <c r="X81" s="503"/>
      <c r="Z81" s="1"/>
    </row>
    <row r="82" spans="1:26" s="293" customFormat="1" ht="19.5" x14ac:dyDescent="0.2">
      <c r="A82" s="159">
        <v>2240</v>
      </c>
      <c r="B82" s="166" t="s">
        <v>130</v>
      </c>
      <c r="C82" s="385">
        <v>332003.02</v>
      </c>
      <c r="D82" s="385">
        <v>329711.55</v>
      </c>
      <c r="E82" s="385">
        <f t="shared" ref="E82" si="73">SUM(E83:E88)</f>
        <v>56382.240000000005</v>
      </c>
      <c r="F82" s="385"/>
      <c r="G82" s="150">
        <f t="shared" si="57"/>
        <v>-56382.240000000005</v>
      </c>
      <c r="H82" s="151">
        <f t="shared" si="58"/>
        <v>-1</v>
      </c>
      <c r="I82" s="501"/>
      <c r="J82" s="385">
        <f t="shared" ref="J82" si="74">SUM(J83:J88)</f>
        <v>151796.56</v>
      </c>
      <c r="K82" s="385"/>
      <c r="L82" s="150">
        <f t="shared" si="63"/>
        <v>-151796.56</v>
      </c>
      <c r="M82" s="151">
        <f t="shared" si="64"/>
        <v>-1</v>
      </c>
      <c r="N82" s="501"/>
      <c r="O82" s="385">
        <f t="shared" ref="O82:P82" si="75">SUM(O83:O88)</f>
        <v>230770</v>
      </c>
      <c r="P82" s="280">
        <f t="shared" si="75"/>
        <v>0</v>
      </c>
      <c r="Q82" s="150">
        <f t="shared" si="65"/>
        <v>-230770</v>
      </c>
      <c r="R82" s="151">
        <f t="shared" si="66"/>
        <v>-1</v>
      </c>
      <c r="S82" s="501"/>
      <c r="T82" s="385">
        <v>329711.55</v>
      </c>
      <c r="U82" s="280">
        <f t="shared" ref="U82" si="76">SUM(U83:U88)</f>
        <v>0</v>
      </c>
      <c r="V82" s="150">
        <f t="shared" si="67"/>
        <v>-329711.55</v>
      </c>
      <c r="W82" s="151">
        <f t="shared" si="68"/>
        <v>-1</v>
      </c>
      <c r="X82" s="501"/>
      <c r="Z82" s="1"/>
    </row>
    <row r="83" spans="1:26" s="2" customFormat="1" ht="17.100000000000001" customHeight="1" x14ac:dyDescent="0.2">
      <c r="A83" s="286">
        <v>2241</v>
      </c>
      <c r="B83" s="163" t="s">
        <v>335</v>
      </c>
      <c r="C83" s="378">
        <v>1601.64</v>
      </c>
      <c r="D83" s="378">
        <v>777</v>
      </c>
      <c r="E83" s="378"/>
      <c r="F83" s="142"/>
      <c r="G83" s="143">
        <f t="shared" si="57"/>
        <v>0</v>
      </c>
      <c r="H83" s="144" t="str">
        <f t="shared" si="58"/>
        <v>-</v>
      </c>
      <c r="I83" s="502"/>
      <c r="J83" s="378"/>
      <c r="K83" s="142"/>
      <c r="L83" s="143">
        <f t="shared" si="63"/>
        <v>0</v>
      </c>
      <c r="M83" s="144" t="str">
        <f t="shared" si="64"/>
        <v>-</v>
      </c>
      <c r="N83" s="502"/>
      <c r="O83" s="379">
        <v>209</v>
      </c>
      <c r="P83" s="142"/>
      <c r="Q83" s="143">
        <f t="shared" si="65"/>
        <v>-209</v>
      </c>
      <c r="R83" s="144">
        <f t="shared" si="66"/>
        <v>-1</v>
      </c>
      <c r="S83" s="502"/>
      <c r="T83" s="379">
        <v>777</v>
      </c>
      <c r="U83" s="142"/>
      <c r="V83" s="143">
        <f t="shared" si="67"/>
        <v>-777</v>
      </c>
      <c r="W83" s="144">
        <f t="shared" si="68"/>
        <v>-1</v>
      </c>
      <c r="X83" s="502"/>
      <c r="Z83" s="1"/>
    </row>
    <row r="84" spans="1:26" s="2" customFormat="1" ht="17.100000000000001" customHeight="1" x14ac:dyDescent="0.2">
      <c r="A84" s="286">
        <v>2242</v>
      </c>
      <c r="B84" s="163" t="s">
        <v>32</v>
      </c>
      <c r="C84" s="378">
        <v>2299.4699999999998</v>
      </c>
      <c r="D84" s="378">
        <v>96.8</v>
      </c>
      <c r="E84" s="378">
        <v>97</v>
      </c>
      <c r="F84" s="142"/>
      <c r="G84" s="143">
        <f t="shared" si="57"/>
        <v>-97</v>
      </c>
      <c r="H84" s="144">
        <f t="shared" si="58"/>
        <v>-1</v>
      </c>
      <c r="I84" s="502"/>
      <c r="J84" s="378">
        <v>97</v>
      </c>
      <c r="K84" s="142"/>
      <c r="L84" s="143">
        <f t="shared" si="63"/>
        <v>-97</v>
      </c>
      <c r="M84" s="144">
        <f t="shared" si="64"/>
        <v>-1</v>
      </c>
      <c r="N84" s="502"/>
      <c r="O84" s="379">
        <v>97</v>
      </c>
      <c r="P84" s="142"/>
      <c r="Q84" s="143">
        <f t="shared" si="65"/>
        <v>-97</v>
      </c>
      <c r="R84" s="144">
        <f t="shared" si="66"/>
        <v>-1</v>
      </c>
      <c r="S84" s="502"/>
      <c r="T84" s="379">
        <v>96.8</v>
      </c>
      <c r="U84" s="142"/>
      <c r="V84" s="143">
        <f t="shared" si="67"/>
        <v>-96.8</v>
      </c>
      <c r="W84" s="144">
        <f t="shared" si="68"/>
        <v>-1</v>
      </c>
      <c r="X84" s="502"/>
      <c r="Z84" s="1"/>
    </row>
    <row r="85" spans="1:26" s="2" customFormat="1" ht="17.100000000000001" customHeight="1" x14ac:dyDescent="0.2">
      <c r="A85" s="286">
        <v>2243</v>
      </c>
      <c r="B85" s="163" t="s">
        <v>33</v>
      </c>
      <c r="C85" s="378">
        <v>199843.39</v>
      </c>
      <c r="D85" s="378">
        <v>207588.81</v>
      </c>
      <c r="E85" s="378">
        <v>27536.3</v>
      </c>
      <c r="F85" s="142"/>
      <c r="G85" s="143">
        <f t="shared" si="57"/>
        <v>-27536.3</v>
      </c>
      <c r="H85" s="144">
        <f t="shared" si="58"/>
        <v>-1</v>
      </c>
      <c r="I85" s="502"/>
      <c r="J85" s="378">
        <v>78841.38</v>
      </c>
      <c r="K85" s="142"/>
      <c r="L85" s="143">
        <f t="shared" si="63"/>
        <v>-78841.38</v>
      </c>
      <c r="M85" s="144">
        <f t="shared" si="64"/>
        <v>-1</v>
      </c>
      <c r="N85" s="502"/>
      <c r="O85" s="378">
        <v>141716</v>
      </c>
      <c r="P85" s="142"/>
      <c r="Q85" s="143">
        <f t="shared" si="65"/>
        <v>-141716</v>
      </c>
      <c r="R85" s="144">
        <f t="shared" si="66"/>
        <v>-1</v>
      </c>
      <c r="S85" s="502"/>
      <c r="T85" s="378">
        <v>207588.81</v>
      </c>
      <c r="U85" s="142"/>
      <c r="V85" s="143">
        <f t="shared" si="67"/>
        <v>-207588.81</v>
      </c>
      <c r="W85" s="144">
        <f t="shared" si="68"/>
        <v>-1</v>
      </c>
      <c r="X85" s="502"/>
      <c r="Z85" s="1"/>
    </row>
    <row r="86" spans="1:26" s="2" customFormat="1" ht="17.100000000000001" customHeight="1" x14ac:dyDescent="0.2">
      <c r="A86" s="286">
        <v>2244</v>
      </c>
      <c r="B86" s="163" t="s">
        <v>131</v>
      </c>
      <c r="C86" s="378">
        <v>22715.47</v>
      </c>
      <c r="D86" s="378">
        <v>6662.2</v>
      </c>
      <c r="E86" s="378">
        <v>4162.2</v>
      </c>
      <c r="F86" s="142"/>
      <c r="G86" s="143">
        <f t="shared" si="57"/>
        <v>-4162.2</v>
      </c>
      <c r="H86" s="144">
        <f t="shared" si="58"/>
        <v>-1</v>
      </c>
      <c r="I86" s="502"/>
      <c r="J86" s="378">
        <v>10270.280000000001</v>
      </c>
      <c r="K86" s="142"/>
      <c r="L86" s="143">
        <f t="shared" si="63"/>
        <v>-10270.280000000001</v>
      </c>
      <c r="M86" s="144">
        <f t="shared" si="64"/>
        <v>-1</v>
      </c>
      <c r="N86" s="502"/>
      <c r="O86" s="379">
        <v>4162</v>
      </c>
      <c r="P86" s="142"/>
      <c r="Q86" s="143">
        <f t="shared" si="65"/>
        <v>-4162</v>
      </c>
      <c r="R86" s="144">
        <f t="shared" si="66"/>
        <v>-1</v>
      </c>
      <c r="S86" s="502"/>
      <c r="T86" s="379">
        <v>6662.2</v>
      </c>
      <c r="U86" s="142"/>
      <c r="V86" s="143">
        <f t="shared" si="67"/>
        <v>-6662.2</v>
      </c>
      <c r="W86" s="144">
        <f t="shared" si="68"/>
        <v>-1</v>
      </c>
      <c r="X86" s="502"/>
      <c r="Z86" s="1"/>
    </row>
    <row r="87" spans="1:26" s="2" customFormat="1" ht="17.100000000000001" customHeight="1" x14ac:dyDescent="0.2">
      <c r="A87" s="286">
        <v>2247</v>
      </c>
      <c r="B87" s="163" t="s">
        <v>34</v>
      </c>
      <c r="C87" s="378">
        <v>2936.27</v>
      </c>
      <c r="D87" s="378">
        <v>762.33</v>
      </c>
      <c r="E87" s="378">
        <f>15.33+747</f>
        <v>762.33</v>
      </c>
      <c r="F87" s="142"/>
      <c r="G87" s="143">
        <f t="shared" si="57"/>
        <v>-762.33</v>
      </c>
      <c r="H87" s="144">
        <f t="shared" si="58"/>
        <v>-1</v>
      </c>
      <c r="I87" s="502"/>
      <c r="J87" s="378">
        <v>762</v>
      </c>
      <c r="K87" s="142"/>
      <c r="L87" s="143">
        <f t="shared" si="63"/>
        <v>-762</v>
      </c>
      <c r="M87" s="144">
        <f t="shared" si="64"/>
        <v>-1</v>
      </c>
      <c r="N87" s="502"/>
      <c r="O87" s="379">
        <v>762</v>
      </c>
      <c r="P87" s="142"/>
      <c r="Q87" s="143">
        <f t="shared" si="65"/>
        <v>-762</v>
      </c>
      <c r="R87" s="144">
        <f t="shared" si="66"/>
        <v>-1</v>
      </c>
      <c r="S87" s="502"/>
      <c r="T87" s="379">
        <v>762.33</v>
      </c>
      <c r="U87" s="142"/>
      <c r="V87" s="143">
        <f t="shared" si="67"/>
        <v>-762.33</v>
      </c>
      <c r="W87" s="144">
        <f t="shared" si="68"/>
        <v>-1</v>
      </c>
      <c r="X87" s="502"/>
      <c r="Z87" s="1"/>
    </row>
    <row r="88" spans="1:26" s="2" customFormat="1" ht="17.100000000000001" customHeight="1" x14ac:dyDescent="0.2">
      <c r="A88" s="286">
        <v>2249</v>
      </c>
      <c r="B88" s="163" t="s">
        <v>35</v>
      </c>
      <c r="C88" s="378">
        <v>102606.78</v>
      </c>
      <c r="D88" s="378">
        <v>113824.41</v>
      </c>
      <c r="E88" s="378">
        <v>23824.41</v>
      </c>
      <c r="F88" s="142"/>
      <c r="G88" s="143">
        <f t="shared" si="57"/>
        <v>-23824.41</v>
      </c>
      <c r="H88" s="144">
        <f t="shared" si="58"/>
        <v>-1</v>
      </c>
      <c r="I88" s="503"/>
      <c r="J88" s="378">
        <v>61825.9</v>
      </c>
      <c r="K88" s="142"/>
      <c r="L88" s="143">
        <f t="shared" si="63"/>
        <v>-61825.9</v>
      </c>
      <c r="M88" s="144">
        <f t="shared" si="64"/>
        <v>-1</v>
      </c>
      <c r="N88" s="503"/>
      <c r="O88" s="378">
        <v>83824</v>
      </c>
      <c r="P88" s="142"/>
      <c r="Q88" s="143">
        <f t="shared" si="65"/>
        <v>-83824</v>
      </c>
      <c r="R88" s="144">
        <f t="shared" si="66"/>
        <v>-1</v>
      </c>
      <c r="S88" s="503"/>
      <c r="T88" s="378">
        <v>113824.41</v>
      </c>
      <c r="U88" s="142"/>
      <c r="V88" s="143">
        <f t="shared" si="67"/>
        <v>-113824.41</v>
      </c>
      <c r="W88" s="144">
        <f t="shared" si="68"/>
        <v>-1</v>
      </c>
      <c r="X88" s="503"/>
      <c r="Z88" s="1"/>
    </row>
    <row r="89" spans="1:26" s="287" customFormat="1" ht="17.100000000000001" customHeight="1" x14ac:dyDescent="0.2">
      <c r="A89" s="159">
        <v>2250</v>
      </c>
      <c r="B89" s="169" t="s">
        <v>36</v>
      </c>
      <c r="C89" s="380">
        <v>146696.73000000001</v>
      </c>
      <c r="D89" s="380">
        <v>201246.41999999998</v>
      </c>
      <c r="E89" s="380">
        <v>55786.13</v>
      </c>
      <c r="F89" s="380"/>
      <c r="G89" s="294">
        <f t="shared" si="57"/>
        <v>-55786.13</v>
      </c>
      <c r="H89" s="295">
        <f t="shared" si="58"/>
        <v>-1</v>
      </c>
      <c r="I89" s="442"/>
      <c r="J89" s="380">
        <v>114580.58</v>
      </c>
      <c r="K89" s="380"/>
      <c r="L89" s="294">
        <f t="shared" si="63"/>
        <v>-114580.58</v>
      </c>
      <c r="M89" s="295">
        <f t="shared" si="64"/>
        <v>-1</v>
      </c>
      <c r="N89" s="296"/>
      <c r="O89" s="383">
        <f>83824+45000</f>
        <v>128824</v>
      </c>
      <c r="P89" s="167"/>
      <c r="Q89" s="294">
        <f t="shared" si="65"/>
        <v>-128824</v>
      </c>
      <c r="R89" s="295">
        <f t="shared" si="66"/>
        <v>-1</v>
      </c>
      <c r="S89" s="296"/>
      <c r="T89" s="380">
        <v>201246.41999999998</v>
      </c>
      <c r="U89" s="167"/>
      <c r="V89" s="294">
        <f t="shared" si="67"/>
        <v>-201246.41999999998</v>
      </c>
      <c r="W89" s="295">
        <f t="shared" si="68"/>
        <v>-1</v>
      </c>
      <c r="X89" s="296"/>
      <c r="Z89" s="1"/>
    </row>
    <row r="90" spans="1:26" s="287" customFormat="1" ht="17.100000000000001" customHeight="1" x14ac:dyDescent="0.2">
      <c r="A90" s="159">
        <v>2260</v>
      </c>
      <c r="B90" s="169" t="s">
        <v>37</v>
      </c>
      <c r="C90" s="385">
        <v>50608.93</v>
      </c>
      <c r="D90" s="385">
        <v>65210.39</v>
      </c>
      <c r="E90" s="385">
        <f t="shared" ref="E90" si="77">SUM(E91:E95)</f>
        <v>10201.83</v>
      </c>
      <c r="F90" s="385"/>
      <c r="G90" s="294">
        <f t="shared" si="57"/>
        <v>-10201.83</v>
      </c>
      <c r="H90" s="295">
        <f t="shared" si="58"/>
        <v>-1</v>
      </c>
      <c r="I90" s="501"/>
      <c r="J90" s="385">
        <f t="shared" ref="J90" si="78">SUM(J91:J95)</f>
        <v>32357.08</v>
      </c>
      <c r="K90" s="385"/>
      <c r="L90" s="294">
        <f t="shared" si="63"/>
        <v>-32357.08</v>
      </c>
      <c r="M90" s="295">
        <f t="shared" si="64"/>
        <v>-1</v>
      </c>
      <c r="N90" s="501"/>
      <c r="O90" s="385">
        <f t="shared" ref="O90:P90" si="79">SUM(O91:O95)</f>
        <v>42275</v>
      </c>
      <c r="P90" s="280">
        <f t="shared" si="79"/>
        <v>0</v>
      </c>
      <c r="Q90" s="294">
        <f t="shared" si="65"/>
        <v>-42275</v>
      </c>
      <c r="R90" s="295">
        <f t="shared" si="66"/>
        <v>-1</v>
      </c>
      <c r="S90" s="501"/>
      <c r="T90" s="385">
        <v>65210.39</v>
      </c>
      <c r="U90" s="280">
        <f t="shared" ref="U90" si="80">SUM(U91:U95)</f>
        <v>0</v>
      </c>
      <c r="V90" s="294">
        <f t="shared" si="67"/>
        <v>-65210.39</v>
      </c>
      <c r="W90" s="295">
        <f t="shared" si="68"/>
        <v>-1</v>
      </c>
      <c r="X90" s="501"/>
      <c r="Z90" s="1"/>
    </row>
    <row r="91" spans="1:26" s="2" customFormat="1" ht="17.100000000000001" customHeight="1" x14ac:dyDescent="0.2">
      <c r="A91" s="286">
        <v>2261</v>
      </c>
      <c r="B91" s="48" t="s">
        <v>38</v>
      </c>
      <c r="C91" s="378"/>
      <c r="D91" s="378">
        <v>0</v>
      </c>
      <c r="E91" s="378"/>
      <c r="F91" s="142"/>
      <c r="G91" s="143">
        <f t="shared" si="57"/>
        <v>0</v>
      </c>
      <c r="H91" s="144" t="str">
        <f t="shared" si="58"/>
        <v>-</v>
      </c>
      <c r="I91" s="502"/>
      <c r="J91" s="378"/>
      <c r="K91" s="142"/>
      <c r="L91" s="143">
        <f t="shared" si="63"/>
        <v>0</v>
      </c>
      <c r="M91" s="144" t="str">
        <f t="shared" si="64"/>
        <v>-</v>
      </c>
      <c r="N91" s="502"/>
      <c r="O91" s="378">
        <v>0</v>
      </c>
      <c r="P91" s="142"/>
      <c r="Q91" s="143">
        <f t="shared" si="65"/>
        <v>0</v>
      </c>
      <c r="R91" s="144" t="str">
        <f t="shared" si="66"/>
        <v>-</v>
      </c>
      <c r="S91" s="502"/>
      <c r="T91" s="378">
        <v>0</v>
      </c>
      <c r="U91" s="142"/>
      <c r="V91" s="143">
        <f t="shared" si="67"/>
        <v>0</v>
      </c>
      <c r="W91" s="144" t="str">
        <f t="shared" si="68"/>
        <v>-</v>
      </c>
      <c r="X91" s="502"/>
      <c r="Z91" s="1"/>
    </row>
    <row r="92" spans="1:26" s="2" customFormat="1" ht="17.100000000000001" customHeight="1" x14ac:dyDescent="0.2">
      <c r="A92" s="286">
        <v>2262</v>
      </c>
      <c r="B92" s="48" t="s">
        <v>39</v>
      </c>
      <c r="C92" s="378"/>
      <c r="D92" s="378">
        <v>0</v>
      </c>
      <c r="E92" s="378"/>
      <c r="F92" s="142"/>
      <c r="G92" s="143">
        <f t="shared" si="57"/>
        <v>0</v>
      </c>
      <c r="H92" s="144" t="str">
        <f t="shared" si="58"/>
        <v>-</v>
      </c>
      <c r="I92" s="502"/>
      <c r="J92" s="378"/>
      <c r="K92" s="142"/>
      <c r="L92" s="143">
        <f t="shared" si="63"/>
        <v>0</v>
      </c>
      <c r="M92" s="144" t="str">
        <f t="shared" si="64"/>
        <v>-</v>
      </c>
      <c r="N92" s="502"/>
      <c r="O92" s="378">
        <v>0</v>
      </c>
      <c r="P92" s="142"/>
      <c r="Q92" s="143">
        <f t="shared" si="65"/>
        <v>0</v>
      </c>
      <c r="R92" s="144" t="str">
        <f t="shared" si="66"/>
        <v>-</v>
      </c>
      <c r="S92" s="502"/>
      <c r="T92" s="378">
        <v>0</v>
      </c>
      <c r="U92" s="142"/>
      <c r="V92" s="143">
        <f t="shared" si="67"/>
        <v>0</v>
      </c>
      <c r="W92" s="144" t="str">
        <f t="shared" si="68"/>
        <v>-</v>
      </c>
      <c r="X92" s="502"/>
      <c r="Z92" s="1"/>
    </row>
    <row r="93" spans="1:26" s="2" customFormat="1" ht="17.100000000000001" customHeight="1" x14ac:dyDescent="0.2">
      <c r="A93" s="286">
        <v>2263</v>
      </c>
      <c r="B93" s="48" t="s">
        <v>40</v>
      </c>
      <c r="C93" s="378"/>
      <c r="D93" s="378">
        <v>0</v>
      </c>
      <c r="E93" s="378"/>
      <c r="F93" s="142"/>
      <c r="G93" s="143">
        <f t="shared" si="57"/>
        <v>0</v>
      </c>
      <c r="H93" s="144" t="str">
        <f t="shared" si="58"/>
        <v>-</v>
      </c>
      <c r="I93" s="502"/>
      <c r="J93" s="378"/>
      <c r="K93" s="142"/>
      <c r="L93" s="143">
        <f t="shared" si="63"/>
        <v>0</v>
      </c>
      <c r="M93" s="144" t="str">
        <f t="shared" si="64"/>
        <v>-</v>
      </c>
      <c r="N93" s="502"/>
      <c r="O93" s="378">
        <v>0</v>
      </c>
      <c r="P93" s="142"/>
      <c r="Q93" s="143">
        <f t="shared" si="65"/>
        <v>0</v>
      </c>
      <c r="R93" s="144" t="str">
        <f t="shared" si="66"/>
        <v>-</v>
      </c>
      <c r="S93" s="502"/>
      <c r="T93" s="378">
        <v>0</v>
      </c>
      <c r="U93" s="142"/>
      <c r="V93" s="143">
        <f t="shared" si="67"/>
        <v>0</v>
      </c>
      <c r="W93" s="144" t="str">
        <f t="shared" si="68"/>
        <v>-</v>
      </c>
      <c r="X93" s="502"/>
      <c r="Z93" s="1"/>
    </row>
    <row r="94" spans="1:26" s="2" customFormat="1" ht="17.100000000000001" customHeight="1" x14ac:dyDescent="0.2">
      <c r="A94" s="286">
        <v>2264</v>
      </c>
      <c r="B94" s="48" t="s">
        <v>132</v>
      </c>
      <c r="C94" s="378">
        <v>50608.93</v>
      </c>
      <c r="D94" s="378">
        <v>65210.39</v>
      </c>
      <c r="E94" s="378">
        <v>10201.83</v>
      </c>
      <c r="F94" s="142"/>
      <c r="G94" s="143">
        <f t="shared" si="57"/>
        <v>-10201.83</v>
      </c>
      <c r="H94" s="144">
        <f t="shared" si="58"/>
        <v>-1</v>
      </c>
      <c r="I94" s="502"/>
      <c r="J94" s="378">
        <v>32357.08</v>
      </c>
      <c r="K94" s="142"/>
      <c r="L94" s="143">
        <f t="shared" si="63"/>
        <v>-32357.08</v>
      </c>
      <c r="M94" s="144">
        <f t="shared" si="64"/>
        <v>-1</v>
      </c>
      <c r="N94" s="502"/>
      <c r="O94" s="379">
        <f>42275</f>
        <v>42275</v>
      </c>
      <c r="P94" s="142"/>
      <c r="Q94" s="143">
        <f t="shared" si="65"/>
        <v>-42275</v>
      </c>
      <c r="R94" s="144">
        <f t="shared" si="66"/>
        <v>-1</v>
      </c>
      <c r="S94" s="502"/>
      <c r="T94" s="378">
        <v>65210.39</v>
      </c>
      <c r="U94" s="142"/>
      <c r="V94" s="143">
        <f t="shared" si="67"/>
        <v>-65210.39</v>
      </c>
      <c r="W94" s="144">
        <f t="shared" si="68"/>
        <v>-1</v>
      </c>
      <c r="X94" s="502"/>
      <c r="Z94" s="1"/>
    </row>
    <row r="95" spans="1:26" s="2" customFormat="1" ht="17.100000000000001" customHeight="1" x14ac:dyDescent="0.2">
      <c r="A95" s="286">
        <v>2269</v>
      </c>
      <c r="B95" s="48" t="s">
        <v>41</v>
      </c>
      <c r="C95" s="378"/>
      <c r="D95" s="378">
        <v>0</v>
      </c>
      <c r="E95" s="378"/>
      <c r="F95" s="142"/>
      <c r="G95" s="143">
        <f t="shared" si="57"/>
        <v>0</v>
      </c>
      <c r="H95" s="144" t="str">
        <f t="shared" si="58"/>
        <v>-</v>
      </c>
      <c r="I95" s="503"/>
      <c r="J95" s="378"/>
      <c r="K95" s="142"/>
      <c r="L95" s="143">
        <f t="shared" si="63"/>
        <v>0</v>
      </c>
      <c r="M95" s="144" t="str">
        <f t="shared" si="64"/>
        <v>-</v>
      </c>
      <c r="N95" s="503"/>
      <c r="O95" s="378">
        <v>0</v>
      </c>
      <c r="P95" s="142"/>
      <c r="Q95" s="143">
        <f t="shared" si="65"/>
        <v>0</v>
      </c>
      <c r="R95" s="144" t="str">
        <f t="shared" si="66"/>
        <v>-</v>
      </c>
      <c r="S95" s="503"/>
      <c r="T95" s="378">
        <v>0</v>
      </c>
      <c r="U95" s="142"/>
      <c r="V95" s="143">
        <f t="shared" si="67"/>
        <v>0</v>
      </c>
      <c r="W95" s="144" t="str">
        <f t="shared" si="68"/>
        <v>-</v>
      </c>
      <c r="X95" s="503"/>
      <c r="Z95" s="1"/>
    </row>
    <row r="96" spans="1:26" s="287" customFormat="1" ht="17.100000000000001" customHeight="1" x14ac:dyDescent="0.2">
      <c r="A96" s="159">
        <v>2270</v>
      </c>
      <c r="B96" s="169" t="s">
        <v>336</v>
      </c>
      <c r="C96" s="385">
        <v>5496</v>
      </c>
      <c r="D96" s="385">
        <v>3410</v>
      </c>
      <c r="E96" s="385">
        <f>SUM(E97:E101)</f>
        <v>0</v>
      </c>
      <c r="F96" s="280"/>
      <c r="G96" s="294">
        <f t="shared" si="57"/>
        <v>0</v>
      </c>
      <c r="H96" s="295" t="str">
        <f t="shared" si="58"/>
        <v>-</v>
      </c>
      <c r="I96" s="501"/>
      <c r="J96" s="385">
        <f>SUM(J97:J101)</f>
        <v>0</v>
      </c>
      <c r="K96" s="290"/>
      <c r="L96" s="294">
        <f>K96-J96</f>
        <v>0</v>
      </c>
      <c r="M96" s="295" t="str">
        <f>IFERROR(L96/ABS(J96), "-")</f>
        <v>-</v>
      </c>
      <c r="N96" s="501"/>
      <c r="O96" s="385">
        <f>SUM(O97:O101)</f>
        <v>3120</v>
      </c>
      <c r="P96" s="290">
        <f>SUM(P97:P101)</f>
        <v>0</v>
      </c>
      <c r="Q96" s="294">
        <f>P96-O96</f>
        <v>-3120</v>
      </c>
      <c r="R96" s="295">
        <f>IFERROR(Q96/ABS(O96), "-")</f>
        <v>-1</v>
      </c>
      <c r="S96" s="501"/>
      <c r="T96" s="385">
        <v>3410</v>
      </c>
      <c r="U96" s="280">
        <f t="shared" ref="U96" si="81">SUM(U98:U101)</f>
        <v>0</v>
      </c>
      <c r="V96" s="294">
        <f t="shared" si="67"/>
        <v>-3410</v>
      </c>
      <c r="W96" s="295">
        <f t="shared" si="68"/>
        <v>-1</v>
      </c>
      <c r="X96" s="501"/>
      <c r="Z96" s="1"/>
    </row>
    <row r="97" spans="1:26" s="2" customFormat="1" ht="17.100000000000001" customHeight="1" x14ac:dyDescent="0.2">
      <c r="A97" s="286">
        <v>2272</v>
      </c>
      <c r="B97" s="163" t="s">
        <v>492</v>
      </c>
      <c r="C97" s="385"/>
      <c r="D97" s="385">
        <v>0</v>
      </c>
      <c r="E97" s="385"/>
      <c r="F97" s="280"/>
      <c r="G97" s="143">
        <f t="shared" si="57"/>
        <v>0</v>
      </c>
      <c r="H97" s="144" t="str">
        <f t="shared" si="58"/>
        <v>-</v>
      </c>
      <c r="I97" s="502"/>
      <c r="J97" s="378"/>
      <c r="K97" s="142"/>
      <c r="L97" s="143">
        <f t="shared" ref="L97" si="82">K97-J97</f>
        <v>0</v>
      </c>
      <c r="M97" s="144" t="str">
        <f t="shared" ref="M97" si="83">IFERROR(L97/ABS(J97), "-")</f>
        <v>-</v>
      </c>
      <c r="N97" s="502"/>
      <c r="O97" s="378">
        <v>0</v>
      </c>
      <c r="P97" s="142"/>
      <c r="Q97" s="143">
        <f t="shared" ref="Q97" si="84">P97-O97</f>
        <v>0</v>
      </c>
      <c r="R97" s="144" t="str">
        <f t="shared" ref="R97" si="85">IFERROR(Q97/ABS(O97), "-")</f>
        <v>-</v>
      </c>
      <c r="S97" s="502"/>
      <c r="T97" s="378">
        <v>0</v>
      </c>
      <c r="U97" s="280"/>
      <c r="V97" s="143">
        <f t="shared" si="67"/>
        <v>0</v>
      </c>
      <c r="W97" s="144" t="str">
        <f t="shared" si="68"/>
        <v>-</v>
      </c>
      <c r="X97" s="502"/>
      <c r="Z97" s="1"/>
    </row>
    <row r="98" spans="1:26" s="2" customFormat="1" ht="17.100000000000001" customHeight="1" x14ac:dyDescent="0.2">
      <c r="A98" s="286">
        <v>2272</v>
      </c>
      <c r="B98" s="163" t="s">
        <v>42</v>
      </c>
      <c r="C98" s="378"/>
      <c r="D98" s="378">
        <v>0</v>
      </c>
      <c r="E98" s="378"/>
      <c r="F98" s="142"/>
      <c r="G98" s="143">
        <f t="shared" si="57"/>
        <v>0</v>
      </c>
      <c r="H98" s="144" t="str">
        <f t="shared" si="58"/>
        <v>-</v>
      </c>
      <c r="I98" s="502"/>
      <c r="J98" s="378"/>
      <c r="K98" s="142"/>
      <c r="L98" s="143">
        <f t="shared" si="63"/>
        <v>0</v>
      </c>
      <c r="M98" s="144" t="str">
        <f t="shared" si="64"/>
        <v>-</v>
      </c>
      <c r="N98" s="502"/>
      <c r="O98" s="378">
        <v>0</v>
      </c>
      <c r="P98" s="142"/>
      <c r="Q98" s="143">
        <f t="shared" si="65"/>
        <v>0</v>
      </c>
      <c r="R98" s="144" t="str">
        <f t="shared" si="66"/>
        <v>-</v>
      </c>
      <c r="S98" s="502"/>
      <c r="T98" s="378">
        <v>0</v>
      </c>
      <c r="U98" s="142"/>
      <c r="V98" s="143">
        <f t="shared" si="67"/>
        <v>0</v>
      </c>
      <c r="W98" s="144" t="str">
        <f t="shared" si="68"/>
        <v>-</v>
      </c>
      <c r="X98" s="502"/>
      <c r="Z98" s="1"/>
    </row>
    <row r="99" spans="1:26" s="2" customFormat="1" ht="17.100000000000001" customHeight="1" x14ac:dyDescent="0.2">
      <c r="A99" s="286">
        <v>2273</v>
      </c>
      <c r="B99" s="163" t="s">
        <v>43</v>
      </c>
      <c r="C99" s="378"/>
      <c r="D99" s="378">
        <v>0</v>
      </c>
      <c r="E99" s="378"/>
      <c r="F99" s="142"/>
      <c r="G99" s="143">
        <f t="shared" si="57"/>
        <v>0</v>
      </c>
      <c r="H99" s="144" t="str">
        <f t="shared" si="58"/>
        <v>-</v>
      </c>
      <c r="I99" s="502"/>
      <c r="J99" s="378"/>
      <c r="K99" s="142"/>
      <c r="L99" s="143">
        <f t="shared" si="63"/>
        <v>0</v>
      </c>
      <c r="M99" s="144" t="str">
        <f t="shared" si="64"/>
        <v>-</v>
      </c>
      <c r="N99" s="502"/>
      <c r="O99" s="378">
        <v>0</v>
      </c>
      <c r="P99" s="142"/>
      <c r="Q99" s="143">
        <f t="shared" si="65"/>
        <v>0</v>
      </c>
      <c r="R99" s="144" t="str">
        <f t="shared" si="66"/>
        <v>-</v>
      </c>
      <c r="S99" s="502"/>
      <c r="T99" s="378">
        <v>0</v>
      </c>
      <c r="U99" s="142"/>
      <c r="V99" s="143">
        <f t="shared" si="67"/>
        <v>0</v>
      </c>
      <c r="W99" s="144" t="str">
        <f t="shared" si="68"/>
        <v>-</v>
      </c>
      <c r="X99" s="502"/>
      <c r="Z99" s="1"/>
    </row>
    <row r="100" spans="1:26" s="2" customFormat="1" ht="17.100000000000001" customHeight="1" x14ac:dyDescent="0.2">
      <c r="A100" s="286">
        <v>2274</v>
      </c>
      <c r="B100" s="163" t="s">
        <v>337</v>
      </c>
      <c r="C100" s="378"/>
      <c r="D100" s="378">
        <v>0</v>
      </c>
      <c r="E100" s="378"/>
      <c r="F100" s="142"/>
      <c r="G100" s="143">
        <f t="shared" si="57"/>
        <v>0</v>
      </c>
      <c r="H100" s="144" t="str">
        <f t="shared" si="58"/>
        <v>-</v>
      </c>
      <c r="I100" s="502"/>
      <c r="J100" s="378"/>
      <c r="K100" s="142"/>
      <c r="L100" s="143">
        <f t="shared" si="63"/>
        <v>0</v>
      </c>
      <c r="M100" s="144" t="str">
        <f t="shared" si="64"/>
        <v>-</v>
      </c>
      <c r="N100" s="502"/>
      <c r="O100" s="378">
        <v>0</v>
      </c>
      <c r="P100" s="142"/>
      <c r="Q100" s="143">
        <f t="shared" si="65"/>
        <v>0</v>
      </c>
      <c r="R100" s="144" t="str">
        <f t="shared" si="66"/>
        <v>-</v>
      </c>
      <c r="S100" s="502"/>
      <c r="T100" s="378">
        <v>0</v>
      </c>
      <c r="U100" s="142"/>
      <c r="V100" s="143">
        <f t="shared" si="67"/>
        <v>0</v>
      </c>
      <c r="W100" s="144" t="str">
        <f t="shared" si="68"/>
        <v>-</v>
      </c>
      <c r="X100" s="502"/>
      <c r="Z100" s="1"/>
    </row>
    <row r="101" spans="1:26" s="2" customFormat="1" ht="17.100000000000001" customHeight="1" x14ac:dyDescent="0.2">
      <c r="A101" s="286">
        <v>2276</v>
      </c>
      <c r="B101" s="163" t="s">
        <v>133</v>
      </c>
      <c r="C101" s="378">
        <v>5496</v>
      </c>
      <c r="D101" s="378">
        <v>3410</v>
      </c>
      <c r="E101" s="378"/>
      <c r="F101" s="142"/>
      <c r="G101" s="143">
        <f t="shared" si="57"/>
        <v>0</v>
      </c>
      <c r="H101" s="144" t="str">
        <f t="shared" si="58"/>
        <v>-</v>
      </c>
      <c r="I101" s="503"/>
      <c r="J101" s="378"/>
      <c r="K101" s="142"/>
      <c r="L101" s="143">
        <f t="shared" si="63"/>
        <v>0</v>
      </c>
      <c r="M101" s="144" t="str">
        <f t="shared" si="64"/>
        <v>-</v>
      </c>
      <c r="N101" s="503"/>
      <c r="O101" s="379">
        <v>3120</v>
      </c>
      <c r="P101" s="142"/>
      <c r="Q101" s="143">
        <f t="shared" si="65"/>
        <v>-3120</v>
      </c>
      <c r="R101" s="144">
        <f t="shared" si="66"/>
        <v>-1</v>
      </c>
      <c r="S101" s="503"/>
      <c r="T101" s="379">
        <v>3410</v>
      </c>
      <c r="U101" s="142"/>
      <c r="V101" s="143">
        <f t="shared" si="67"/>
        <v>-3410</v>
      </c>
      <c r="W101" s="144">
        <f t="shared" si="68"/>
        <v>-1</v>
      </c>
      <c r="X101" s="503"/>
      <c r="Z101" s="1"/>
    </row>
    <row r="102" spans="1:26" s="287" customFormat="1" ht="18" customHeight="1" x14ac:dyDescent="0.2">
      <c r="A102" s="159">
        <v>2280</v>
      </c>
      <c r="B102" s="166" t="s">
        <v>493</v>
      </c>
      <c r="C102" s="380">
        <v>2724.22</v>
      </c>
      <c r="D102" s="380">
        <v>2022.3600000000001</v>
      </c>
      <c r="E102" s="380">
        <v>784.7</v>
      </c>
      <c r="F102" s="167"/>
      <c r="G102" s="294">
        <f t="shared" si="57"/>
        <v>-784.7</v>
      </c>
      <c r="H102" s="295">
        <f t="shared" si="58"/>
        <v>-1</v>
      </c>
      <c r="I102" s="442"/>
      <c r="J102" s="380">
        <v>939.81</v>
      </c>
      <c r="K102" s="380"/>
      <c r="L102" s="294">
        <f t="shared" si="63"/>
        <v>-939.81</v>
      </c>
      <c r="M102" s="295">
        <f t="shared" si="64"/>
        <v>-1</v>
      </c>
      <c r="N102" s="296"/>
      <c r="O102" s="380">
        <v>1309</v>
      </c>
      <c r="P102" s="167"/>
      <c r="Q102" s="294">
        <f t="shared" si="65"/>
        <v>-1309</v>
      </c>
      <c r="R102" s="295">
        <f t="shared" si="66"/>
        <v>-1</v>
      </c>
      <c r="S102" s="296"/>
      <c r="T102" s="380">
        <v>2022.3600000000001</v>
      </c>
      <c r="U102" s="167"/>
      <c r="V102" s="294">
        <f t="shared" si="67"/>
        <v>-2022.3600000000001</v>
      </c>
      <c r="W102" s="295">
        <f t="shared" si="68"/>
        <v>-1</v>
      </c>
      <c r="X102" s="296"/>
      <c r="Z102" s="1"/>
    </row>
    <row r="103" spans="1:26" s="4" customFormat="1" ht="17.100000000000001" customHeight="1" x14ac:dyDescent="0.2">
      <c r="A103" s="126">
        <v>2300</v>
      </c>
      <c r="B103" s="183" t="s">
        <v>44</v>
      </c>
      <c r="C103" s="377">
        <v>5702606.21</v>
      </c>
      <c r="D103" s="377">
        <v>6353060.8138000006</v>
      </c>
      <c r="E103" s="377">
        <f>E104+E109+E113+E114+E118+E119+E126+E127+E128</f>
        <v>1770413.2999999998</v>
      </c>
      <c r="F103" s="177"/>
      <c r="G103" s="178">
        <f t="shared" si="57"/>
        <v>-1770413.2999999998</v>
      </c>
      <c r="H103" s="179">
        <f t="shared" si="58"/>
        <v>-1</v>
      </c>
      <c r="I103" s="443"/>
      <c r="J103" s="377">
        <f>J104+J109+J113+J114+J118+J119+J126+J127+J128</f>
        <v>3233937.8299999996</v>
      </c>
      <c r="K103" s="177"/>
      <c r="L103" s="178">
        <f t="shared" si="63"/>
        <v>-3233937.8299999996</v>
      </c>
      <c r="M103" s="179">
        <f t="shared" si="64"/>
        <v>-1</v>
      </c>
      <c r="N103" s="188"/>
      <c r="O103" s="377">
        <f>O104+O109+O113+O114+O118+O119+O126+O127+O128</f>
        <v>4492719</v>
      </c>
      <c r="P103" s="177">
        <f>P104+P109+P113+P114+P118+P119+P126+P127+P128</f>
        <v>0</v>
      </c>
      <c r="Q103" s="178">
        <f t="shared" si="65"/>
        <v>-4492719</v>
      </c>
      <c r="R103" s="179">
        <f t="shared" si="66"/>
        <v>-1</v>
      </c>
      <c r="S103" s="188"/>
      <c r="T103" s="377">
        <v>6353060.8138000006</v>
      </c>
      <c r="U103" s="177">
        <f>U104+U109+U113+U114+U118+U119+U126+U127+U128</f>
        <v>0</v>
      </c>
      <c r="V103" s="178">
        <f t="shared" si="67"/>
        <v>-6353060.8138000006</v>
      </c>
      <c r="W103" s="179">
        <f t="shared" si="68"/>
        <v>-1</v>
      </c>
      <c r="X103" s="188"/>
      <c r="Z103" s="1"/>
    </row>
    <row r="104" spans="1:26" s="287" customFormat="1" ht="17.100000000000001" customHeight="1" x14ac:dyDescent="0.2">
      <c r="A104" s="159">
        <v>2310</v>
      </c>
      <c r="B104" s="166" t="s">
        <v>338</v>
      </c>
      <c r="C104" s="385">
        <v>67707.89</v>
      </c>
      <c r="D104" s="385">
        <v>49285.04</v>
      </c>
      <c r="E104" s="385">
        <f t="shared" ref="E104" si="86">SUM(E105:E108)</f>
        <v>14787.039999999999</v>
      </c>
      <c r="F104" s="385"/>
      <c r="G104" s="294">
        <f t="shared" si="57"/>
        <v>-14787.039999999999</v>
      </c>
      <c r="H104" s="295">
        <f t="shared" si="58"/>
        <v>-1</v>
      </c>
      <c r="I104" s="501"/>
      <c r="J104" s="385">
        <f t="shared" ref="J104" si="87">SUM(J105:J108)</f>
        <v>29112.91</v>
      </c>
      <c r="K104" s="385"/>
      <c r="L104" s="294">
        <f t="shared" si="63"/>
        <v>-29112.91</v>
      </c>
      <c r="M104" s="295">
        <f t="shared" si="64"/>
        <v>-1</v>
      </c>
      <c r="N104" s="501"/>
      <c r="O104" s="385">
        <f t="shared" ref="O104:P104" si="88">SUM(O105:O108)</f>
        <v>40873</v>
      </c>
      <c r="P104" s="280">
        <f t="shared" si="88"/>
        <v>0</v>
      </c>
      <c r="Q104" s="294">
        <f t="shared" si="65"/>
        <v>-40873</v>
      </c>
      <c r="R104" s="295">
        <f t="shared" si="66"/>
        <v>-1</v>
      </c>
      <c r="S104" s="501"/>
      <c r="T104" s="385">
        <v>49285.04</v>
      </c>
      <c r="U104" s="280">
        <f t="shared" ref="U104" si="89">SUM(U105:U108)</f>
        <v>0</v>
      </c>
      <c r="V104" s="294">
        <f t="shared" si="67"/>
        <v>-49285.04</v>
      </c>
      <c r="W104" s="295">
        <f t="shared" si="68"/>
        <v>-1</v>
      </c>
      <c r="X104" s="501"/>
      <c r="Z104" s="1"/>
    </row>
    <row r="105" spans="1:26" s="2" customFormat="1" ht="17.100000000000001" customHeight="1" x14ac:dyDescent="0.2">
      <c r="A105" s="286">
        <v>2311</v>
      </c>
      <c r="B105" s="48" t="s">
        <v>45</v>
      </c>
      <c r="C105" s="378">
        <v>12839.56</v>
      </c>
      <c r="D105" s="378">
        <v>20417.36</v>
      </c>
      <c r="E105" s="378">
        <v>3168.36</v>
      </c>
      <c r="F105" s="142"/>
      <c r="G105" s="143">
        <f t="shared" si="57"/>
        <v>-3168.36</v>
      </c>
      <c r="H105" s="144">
        <f t="shared" si="58"/>
        <v>-1</v>
      </c>
      <c r="I105" s="502"/>
      <c r="J105" s="378">
        <v>5806.11</v>
      </c>
      <c r="K105" s="378"/>
      <c r="L105" s="143">
        <f t="shared" si="63"/>
        <v>-5806.11</v>
      </c>
      <c r="M105" s="144">
        <f t="shared" si="64"/>
        <v>-1</v>
      </c>
      <c r="N105" s="502"/>
      <c r="O105" s="378">
        <v>14670</v>
      </c>
      <c r="P105" s="142"/>
      <c r="Q105" s="143">
        <f t="shared" si="65"/>
        <v>-14670</v>
      </c>
      <c r="R105" s="144">
        <f t="shared" si="66"/>
        <v>-1</v>
      </c>
      <c r="S105" s="502"/>
      <c r="T105" s="378">
        <v>20417.36</v>
      </c>
      <c r="U105" s="142"/>
      <c r="V105" s="143">
        <f t="shared" si="67"/>
        <v>-20417.36</v>
      </c>
      <c r="W105" s="144">
        <f t="shared" si="68"/>
        <v>-1</v>
      </c>
      <c r="X105" s="502"/>
      <c r="Z105" s="1"/>
    </row>
    <row r="106" spans="1:26" s="2" customFormat="1" ht="17.100000000000001" customHeight="1" x14ac:dyDescent="0.2">
      <c r="A106" s="286">
        <v>2312</v>
      </c>
      <c r="B106" s="48" t="s">
        <v>46</v>
      </c>
      <c r="C106" s="378">
        <v>54769.83</v>
      </c>
      <c r="D106" s="378">
        <v>28664.22</v>
      </c>
      <c r="E106" s="378">
        <v>11415.22</v>
      </c>
      <c r="F106" s="142"/>
      <c r="G106" s="143">
        <f t="shared" si="57"/>
        <v>-11415.22</v>
      </c>
      <c r="H106" s="144">
        <f t="shared" si="58"/>
        <v>-1</v>
      </c>
      <c r="I106" s="502"/>
      <c r="J106" s="378">
        <v>23103.8</v>
      </c>
      <c r="K106" s="378"/>
      <c r="L106" s="143">
        <f t="shared" si="63"/>
        <v>-23103.8</v>
      </c>
      <c r="M106" s="144">
        <f t="shared" si="64"/>
        <v>-1</v>
      </c>
      <c r="N106" s="502"/>
      <c r="O106" s="379">
        <v>26000</v>
      </c>
      <c r="P106" s="142"/>
      <c r="Q106" s="143">
        <f t="shared" si="65"/>
        <v>-26000</v>
      </c>
      <c r="R106" s="144">
        <f t="shared" si="66"/>
        <v>-1</v>
      </c>
      <c r="S106" s="502"/>
      <c r="T106" s="379">
        <v>28664.22</v>
      </c>
      <c r="U106" s="142"/>
      <c r="V106" s="143">
        <f t="shared" si="67"/>
        <v>-28664.22</v>
      </c>
      <c r="W106" s="144">
        <f t="shared" si="68"/>
        <v>-1</v>
      </c>
      <c r="X106" s="502"/>
      <c r="Z106" s="1"/>
    </row>
    <row r="107" spans="1:26" s="4" customFormat="1" ht="17.100000000000001" customHeight="1" x14ac:dyDescent="0.2">
      <c r="A107" s="286">
        <v>2313</v>
      </c>
      <c r="B107" s="48" t="s">
        <v>339</v>
      </c>
      <c r="C107" s="378">
        <v>98.5</v>
      </c>
      <c r="D107" s="378">
        <v>203.46</v>
      </c>
      <c r="E107" s="378">
        <v>203.46</v>
      </c>
      <c r="F107" s="142"/>
      <c r="G107" s="143">
        <f t="shared" si="57"/>
        <v>-203.46</v>
      </c>
      <c r="H107" s="144">
        <f t="shared" si="58"/>
        <v>-1</v>
      </c>
      <c r="I107" s="502"/>
      <c r="J107" s="378">
        <v>203</v>
      </c>
      <c r="K107" s="378"/>
      <c r="L107" s="143">
        <f t="shared" si="63"/>
        <v>-203</v>
      </c>
      <c r="M107" s="144">
        <f t="shared" si="64"/>
        <v>-1</v>
      </c>
      <c r="N107" s="502"/>
      <c r="O107" s="379">
        <v>203</v>
      </c>
      <c r="P107" s="142"/>
      <c r="Q107" s="143">
        <f t="shared" si="65"/>
        <v>-203</v>
      </c>
      <c r="R107" s="144">
        <f t="shared" si="66"/>
        <v>-1</v>
      </c>
      <c r="S107" s="502"/>
      <c r="T107" s="379">
        <v>203.46</v>
      </c>
      <c r="U107" s="142"/>
      <c r="V107" s="143">
        <f t="shared" si="67"/>
        <v>-203.46</v>
      </c>
      <c r="W107" s="144">
        <f t="shared" si="68"/>
        <v>-1</v>
      </c>
      <c r="X107" s="502"/>
      <c r="Z107" s="1"/>
    </row>
    <row r="108" spans="1:26" s="2" customFormat="1" ht="17.100000000000001" customHeight="1" x14ac:dyDescent="0.2">
      <c r="A108" s="286">
        <v>2314</v>
      </c>
      <c r="B108" s="163" t="s">
        <v>340</v>
      </c>
      <c r="C108" s="378"/>
      <c r="D108" s="378">
        <v>0</v>
      </c>
      <c r="E108" s="378"/>
      <c r="F108" s="142"/>
      <c r="G108" s="143">
        <f t="shared" si="57"/>
        <v>0</v>
      </c>
      <c r="H108" s="144" t="str">
        <f t="shared" si="58"/>
        <v>-</v>
      </c>
      <c r="I108" s="503"/>
      <c r="J108" s="378"/>
      <c r="K108" s="378"/>
      <c r="L108" s="143">
        <f t="shared" si="63"/>
        <v>0</v>
      </c>
      <c r="M108" s="144" t="str">
        <f t="shared" si="64"/>
        <v>-</v>
      </c>
      <c r="N108" s="503"/>
      <c r="O108" s="378">
        <v>0</v>
      </c>
      <c r="P108" s="142"/>
      <c r="Q108" s="143">
        <f t="shared" si="65"/>
        <v>0</v>
      </c>
      <c r="R108" s="144" t="str">
        <f t="shared" si="66"/>
        <v>-</v>
      </c>
      <c r="S108" s="503"/>
      <c r="T108" s="378">
        <v>0</v>
      </c>
      <c r="U108" s="142"/>
      <c r="V108" s="143">
        <f t="shared" si="67"/>
        <v>0</v>
      </c>
      <c r="W108" s="144" t="str">
        <f t="shared" si="68"/>
        <v>-</v>
      </c>
      <c r="X108" s="503"/>
      <c r="Z108" s="1"/>
    </row>
    <row r="109" spans="1:26" s="287" customFormat="1" ht="17.100000000000001" customHeight="1" x14ac:dyDescent="0.2">
      <c r="A109" s="159">
        <v>2320</v>
      </c>
      <c r="B109" s="166" t="s">
        <v>47</v>
      </c>
      <c r="C109" s="385">
        <v>2462.83</v>
      </c>
      <c r="D109" s="385">
        <v>2403.6</v>
      </c>
      <c r="E109" s="385">
        <f t="shared" ref="E109" si="90">SUM(E110:E112)</f>
        <v>513.6</v>
      </c>
      <c r="F109" s="280"/>
      <c r="G109" s="294">
        <f t="shared" si="57"/>
        <v>-513.6</v>
      </c>
      <c r="H109" s="295">
        <f t="shared" si="58"/>
        <v>-1</v>
      </c>
      <c r="I109" s="501"/>
      <c r="J109" s="385">
        <f t="shared" ref="J109" si="91">SUM(J110:J112)</f>
        <v>970.12</v>
      </c>
      <c r="K109" s="385"/>
      <c r="L109" s="294">
        <f t="shared" si="63"/>
        <v>-970.12</v>
      </c>
      <c r="M109" s="295">
        <f t="shared" si="64"/>
        <v>-1</v>
      </c>
      <c r="N109" s="501"/>
      <c r="O109" s="385">
        <f t="shared" ref="O109:P109" si="92">SUM(O110:O112)</f>
        <v>1803</v>
      </c>
      <c r="P109" s="280">
        <f t="shared" si="92"/>
        <v>0</v>
      </c>
      <c r="Q109" s="294">
        <f t="shared" si="65"/>
        <v>-1803</v>
      </c>
      <c r="R109" s="295">
        <f t="shared" si="66"/>
        <v>-1</v>
      </c>
      <c r="S109" s="501"/>
      <c r="T109" s="385">
        <v>2403.6</v>
      </c>
      <c r="U109" s="280">
        <f t="shared" ref="U109" si="93">SUM(U110:U112)</f>
        <v>0</v>
      </c>
      <c r="V109" s="294">
        <f t="shared" si="67"/>
        <v>-2403.6</v>
      </c>
      <c r="W109" s="295">
        <f t="shared" si="68"/>
        <v>-1</v>
      </c>
      <c r="X109" s="501"/>
      <c r="Z109" s="1"/>
    </row>
    <row r="110" spans="1:26" s="2" customFormat="1" ht="17.100000000000001" customHeight="1" x14ac:dyDescent="0.2">
      <c r="A110" s="95">
        <v>2321</v>
      </c>
      <c r="B110" s="48" t="s">
        <v>48</v>
      </c>
      <c r="C110" s="378"/>
      <c r="D110" s="378">
        <v>0</v>
      </c>
      <c r="E110" s="378"/>
      <c r="F110" s="142"/>
      <c r="G110" s="143">
        <f t="shared" si="57"/>
        <v>0</v>
      </c>
      <c r="H110" s="144" t="str">
        <f t="shared" si="58"/>
        <v>-</v>
      </c>
      <c r="I110" s="502"/>
      <c r="J110" s="378"/>
      <c r="K110" s="378"/>
      <c r="L110" s="143">
        <f t="shared" si="63"/>
        <v>0</v>
      </c>
      <c r="M110" s="144" t="str">
        <f t="shared" si="64"/>
        <v>-</v>
      </c>
      <c r="N110" s="502"/>
      <c r="O110" s="378">
        <v>0</v>
      </c>
      <c r="P110" s="142"/>
      <c r="Q110" s="143">
        <f t="shared" si="65"/>
        <v>0</v>
      </c>
      <c r="R110" s="144" t="str">
        <f t="shared" si="66"/>
        <v>-</v>
      </c>
      <c r="S110" s="502"/>
      <c r="T110" s="378">
        <v>0</v>
      </c>
      <c r="U110" s="142"/>
      <c r="V110" s="143">
        <f t="shared" si="67"/>
        <v>0</v>
      </c>
      <c r="W110" s="144" t="str">
        <f t="shared" si="68"/>
        <v>-</v>
      </c>
      <c r="X110" s="502"/>
      <c r="Z110" s="1"/>
    </row>
    <row r="111" spans="1:26" s="4" customFormat="1" ht="17.100000000000001" customHeight="1" x14ac:dyDescent="0.2">
      <c r="A111" s="95">
        <v>2322</v>
      </c>
      <c r="B111" s="48" t="s">
        <v>49</v>
      </c>
      <c r="C111" s="378">
        <v>2462.83</v>
      </c>
      <c r="D111" s="378">
        <v>2403.6</v>
      </c>
      <c r="E111" s="378">
        <v>513.6</v>
      </c>
      <c r="F111" s="142"/>
      <c r="G111" s="143">
        <f t="shared" si="57"/>
        <v>-513.6</v>
      </c>
      <c r="H111" s="144">
        <f t="shared" si="58"/>
        <v>-1</v>
      </c>
      <c r="I111" s="502"/>
      <c r="J111" s="378">
        <v>970.12</v>
      </c>
      <c r="K111" s="378"/>
      <c r="L111" s="143">
        <f t="shared" si="63"/>
        <v>-970.12</v>
      </c>
      <c r="M111" s="144">
        <f t="shared" si="64"/>
        <v>-1</v>
      </c>
      <c r="N111" s="502"/>
      <c r="O111" s="378">
        <v>1803</v>
      </c>
      <c r="P111" s="142"/>
      <c r="Q111" s="143">
        <f t="shared" si="65"/>
        <v>-1803</v>
      </c>
      <c r="R111" s="144">
        <f t="shared" si="66"/>
        <v>-1</v>
      </c>
      <c r="S111" s="502"/>
      <c r="T111" s="378">
        <v>2403.6</v>
      </c>
      <c r="U111" s="142"/>
      <c r="V111" s="143">
        <f t="shared" si="67"/>
        <v>-2403.6</v>
      </c>
      <c r="W111" s="144">
        <f t="shared" si="68"/>
        <v>-1</v>
      </c>
      <c r="X111" s="502"/>
      <c r="Z111" s="1"/>
    </row>
    <row r="112" spans="1:26" s="4" customFormat="1" ht="17.100000000000001" customHeight="1" x14ac:dyDescent="0.2">
      <c r="A112" s="95">
        <v>2329</v>
      </c>
      <c r="B112" s="48" t="s">
        <v>50</v>
      </c>
      <c r="C112" s="378"/>
      <c r="D112" s="378">
        <v>0</v>
      </c>
      <c r="E112" s="378"/>
      <c r="F112" s="142"/>
      <c r="G112" s="143">
        <f t="shared" si="57"/>
        <v>0</v>
      </c>
      <c r="H112" s="144" t="str">
        <f t="shared" si="58"/>
        <v>-</v>
      </c>
      <c r="I112" s="503"/>
      <c r="J112" s="378"/>
      <c r="K112" s="378"/>
      <c r="L112" s="143">
        <f t="shared" si="63"/>
        <v>0</v>
      </c>
      <c r="M112" s="144" t="str">
        <f t="shared" si="64"/>
        <v>-</v>
      </c>
      <c r="N112" s="503"/>
      <c r="O112" s="378">
        <v>0</v>
      </c>
      <c r="P112" s="142"/>
      <c r="Q112" s="143">
        <f t="shared" si="65"/>
        <v>0</v>
      </c>
      <c r="R112" s="144" t="str">
        <f t="shared" si="66"/>
        <v>-</v>
      </c>
      <c r="S112" s="503"/>
      <c r="T112" s="378">
        <v>0</v>
      </c>
      <c r="U112" s="142"/>
      <c r="V112" s="143">
        <f t="shared" si="67"/>
        <v>0</v>
      </c>
      <c r="W112" s="144" t="str">
        <f t="shared" si="68"/>
        <v>-</v>
      </c>
      <c r="X112" s="503"/>
      <c r="Z112" s="1"/>
    </row>
    <row r="113" spans="1:26" s="287" customFormat="1" ht="17.100000000000001" customHeight="1" x14ac:dyDescent="0.2">
      <c r="A113" s="159">
        <v>2330</v>
      </c>
      <c r="B113" s="169" t="s">
        <v>51</v>
      </c>
      <c r="C113" s="380"/>
      <c r="D113" s="380">
        <v>0</v>
      </c>
      <c r="E113" s="380"/>
      <c r="F113" s="167"/>
      <c r="G113" s="294">
        <f t="shared" si="57"/>
        <v>0</v>
      </c>
      <c r="H113" s="295" t="str">
        <f t="shared" si="58"/>
        <v>-</v>
      </c>
      <c r="I113" s="442"/>
      <c r="J113" s="380"/>
      <c r="K113" s="380"/>
      <c r="L113" s="294">
        <f t="shared" si="63"/>
        <v>0</v>
      </c>
      <c r="M113" s="295" t="str">
        <f t="shared" si="64"/>
        <v>-</v>
      </c>
      <c r="N113" s="296"/>
      <c r="O113" s="380">
        <v>0</v>
      </c>
      <c r="P113" s="167"/>
      <c r="Q113" s="294">
        <f t="shared" si="65"/>
        <v>0</v>
      </c>
      <c r="R113" s="295" t="str">
        <f t="shared" si="66"/>
        <v>-</v>
      </c>
      <c r="S113" s="296"/>
      <c r="T113" s="380">
        <v>0</v>
      </c>
      <c r="U113" s="167"/>
      <c r="V113" s="294">
        <f t="shared" si="67"/>
        <v>0</v>
      </c>
      <c r="W113" s="295" t="str">
        <f t="shared" si="68"/>
        <v>-</v>
      </c>
      <c r="X113" s="296"/>
      <c r="Z113" s="1"/>
    </row>
    <row r="114" spans="1:26" s="287" customFormat="1" ht="33.6" customHeight="1" x14ac:dyDescent="0.2">
      <c r="A114" s="159">
        <v>2340</v>
      </c>
      <c r="B114" s="166" t="s">
        <v>52</v>
      </c>
      <c r="C114" s="380">
        <v>5400441.04</v>
      </c>
      <c r="D114" s="380">
        <v>5965271.9900000002</v>
      </c>
      <c r="E114" s="380">
        <f>E115+E116+E117</f>
        <v>1675512</v>
      </c>
      <c r="F114" s="380"/>
      <c r="G114" s="294">
        <f t="shared" si="57"/>
        <v>-1675512</v>
      </c>
      <c r="H114" s="295">
        <f t="shared" si="58"/>
        <v>-1</v>
      </c>
      <c r="I114" s="504"/>
      <c r="J114" s="380">
        <f>J115+J116+J117</f>
        <v>3056896.39</v>
      </c>
      <c r="K114" s="380"/>
      <c r="L114" s="294">
        <f t="shared" si="63"/>
        <v>-3056896.39</v>
      </c>
      <c r="M114" s="295">
        <f t="shared" si="64"/>
        <v>-1</v>
      </c>
      <c r="N114" s="504"/>
      <c r="O114" s="380">
        <f>O115+O116+O117</f>
        <v>4225358</v>
      </c>
      <c r="P114" s="167">
        <f>P115+P116+P117</f>
        <v>0</v>
      </c>
      <c r="Q114" s="294">
        <f t="shared" si="65"/>
        <v>-4225358</v>
      </c>
      <c r="R114" s="295">
        <f t="shared" si="66"/>
        <v>-1</v>
      </c>
      <c r="S114" s="504"/>
      <c r="T114" s="380">
        <v>5965271.9900000002</v>
      </c>
      <c r="U114" s="167">
        <f>U115+U116+U117</f>
        <v>0</v>
      </c>
      <c r="V114" s="294">
        <f t="shared" si="67"/>
        <v>-5965271.9900000002</v>
      </c>
      <c r="W114" s="295">
        <f t="shared" si="68"/>
        <v>-1</v>
      </c>
      <c r="X114" s="504"/>
      <c r="Z114" s="1"/>
    </row>
    <row r="115" spans="1:26" s="2" customFormat="1" ht="17.100000000000001" customHeight="1" x14ac:dyDescent="0.2">
      <c r="A115" s="297">
        <v>2341</v>
      </c>
      <c r="B115" s="170" t="s">
        <v>53</v>
      </c>
      <c r="C115" s="386">
        <v>671275.54</v>
      </c>
      <c r="D115" s="386">
        <v>863574.79999999993</v>
      </c>
      <c r="E115" s="386">
        <f>225460.5-E116</f>
        <v>208289.41999999998</v>
      </c>
      <c r="F115" s="386"/>
      <c r="G115" s="157">
        <f t="shared" si="57"/>
        <v>-208289.41999999998</v>
      </c>
      <c r="H115" s="158">
        <f t="shared" si="58"/>
        <v>-1</v>
      </c>
      <c r="I115" s="505"/>
      <c r="J115" s="386">
        <f>451375.33-J116</f>
        <v>414559.64</v>
      </c>
      <c r="K115" s="386"/>
      <c r="L115" s="157">
        <f t="shared" si="63"/>
        <v>-414559.64</v>
      </c>
      <c r="M115" s="158">
        <f t="shared" si="64"/>
        <v>-1</v>
      </c>
      <c r="N115" s="505"/>
      <c r="O115" s="386">
        <f>598954+15000</f>
        <v>613954</v>
      </c>
      <c r="P115" s="171"/>
      <c r="Q115" s="157">
        <f t="shared" si="65"/>
        <v>-613954</v>
      </c>
      <c r="R115" s="158">
        <f t="shared" si="66"/>
        <v>-1</v>
      </c>
      <c r="S115" s="505"/>
      <c r="T115" s="386">
        <v>863574.79999999993</v>
      </c>
      <c r="U115" s="171"/>
      <c r="V115" s="157">
        <f t="shared" si="67"/>
        <v>-863574.79999999993</v>
      </c>
      <c r="W115" s="158">
        <f t="shared" si="68"/>
        <v>-1</v>
      </c>
      <c r="X115" s="505"/>
      <c r="Z115" s="1"/>
    </row>
    <row r="116" spans="1:26" s="4" customFormat="1" ht="17.100000000000001" customHeight="1" x14ac:dyDescent="0.2">
      <c r="A116" s="297">
        <v>2343</v>
      </c>
      <c r="B116" s="170" t="s">
        <v>297</v>
      </c>
      <c r="C116" s="386">
        <v>92718.11</v>
      </c>
      <c r="D116" s="386">
        <v>79530.01999999999</v>
      </c>
      <c r="E116" s="386">
        <v>17171.080000000002</v>
      </c>
      <c r="F116" s="386"/>
      <c r="G116" s="172">
        <f t="shared" si="57"/>
        <v>-17171.080000000002</v>
      </c>
      <c r="H116" s="158">
        <f t="shared" si="58"/>
        <v>-1</v>
      </c>
      <c r="I116" s="505"/>
      <c r="J116" s="386">
        <v>36815.69</v>
      </c>
      <c r="K116" s="386"/>
      <c r="L116" s="172">
        <f t="shared" si="63"/>
        <v>-36815.69</v>
      </c>
      <c r="M116" s="158">
        <f t="shared" si="64"/>
        <v>-1</v>
      </c>
      <c r="N116" s="505"/>
      <c r="O116" s="386">
        <v>59237</v>
      </c>
      <c r="P116" s="171"/>
      <c r="Q116" s="172">
        <f t="shared" si="65"/>
        <v>-59237</v>
      </c>
      <c r="R116" s="158">
        <f t="shared" si="66"/>
        <v>-1</v>
      </c>
      <c r="S116" s="505"/>
      <c r="T116" s="386">
        <v>79530.01999999999</v>
      </c>
      <c r="U116" s="171"/>
      <c r="V116" s="172">
        <f t="shared" si="67"/>
        <v>-79530.01999999999</v>
      </c>
      <c r="W116" s="158">
        <f t="shared" si="68"/>
        <v>-1</v>
      </c>
      <c r="X116" s="505"/>
      <c r="Z116" s="1"/>
    </row>
    <row r="117" spans="1:26" s="4" customFormat="1" ht="17.100000000000001" customHeight="1" x14ac:dyDescent="0.2">
      <c r="A117" s="297">
        <v>2344</v>
      </c>
      <c r="B117" s="170" t="s">
        <v>299</v>
      </c>
      <c r="C117" s="386">
        <v>4636447.3899999997</v>
      </c>
      <c r="D117" s="386">
        <v>5022167.17</v>
      </c>
      <c r="E117" s="386">
        <v>1450051.5</v>
      </c>
      <c r="F117" s="386"/>
      <c r="G117" s="157">
        <f t="shared" si="57"/>
        <v>-1450051.5</v>
      </c>
      <c r="H117" s="158">
        <f t="shared" si="58"/>
        <v>-1</v>
      </c>
      <c r="I117" s="506"/>
      <c r="J117" s="386">
        <v>2605521.06</v>
      </c>
      <c r="K117" s="386"/>
      <c r="L117" s="157">
        <f t="shared" si="63"/>
        <v>-2605521.06</v>
      </c>
      <c r="M117" s="158">
        <f t="shared" si="64"/>
        <v>-1</v>
      </c>
      <c r="N117" s="506"/>
      <c r="O117" s="386">
        <f>3502167+50000</f>
        <v>3552167</v>
      </c>
      <c r="P117" s="171"/>
      <c r="Q117" s="157">
        <f t="shared" si="65"/>
        <v>-3552167</v>
      </c>
      <c r="R117" s="158">
        <f t="shared" si="66"/>
        <v>-1</v>
      </c>
      <c r="S117" s="506"/>
      <c r="T117" s="386">
        <v>5022167.17</v>
      </c>
      <c r="U117" s="171"/>
      <c r="V117" s="157">
        <f t="shared" si="67"/>
        <v>-5022167.17</v>
      </c>
      <c r="W117" s="158">
        <f t="shared" si="68"/>
        <v>-1</v>
      </c>
      <c r="X117" s="506"/>
      <c r="Z117" s="1"/>
    </row>
    <row r="118" spans="1:26" s="287" customFormat="1" ht="17.100000000000001" customHeight="1" x14ac:dyDescent="0.2">
      <c r="A118" s="159">
        <v>2350</v>
      </c>
      <c r="B118" s="169" t="s">
        <v>341</v>
      </c>
      <c r="C118" s="380">
        <v>15818.65</v>
      </c>
      <c r="D118" s="380">
        <v>17580.78</v>
      </c>
      <c r="E118" s="380">
        <v>3474.78</v>
      </c>
      <c r="F118" s="380"/>
      <c r="G118" s="294">
        <f t="shared" si="57"/>
        <v>-3474.78</v>
      </c>
      <c r="H118" s="295">
        <f t="shared" si="58"/>
        <v>-1</v>
      </c>
      <c r="I118" s="442"/>
      <c r="J118" s="380">
        <v>5609.13</v>
      </c>
      <c r="K118" s="380"/>
      <c r="L118" s="294">
        <f t="shared" si="63"/>
        <v>-5609.13</v>
      </c>
      <c r="M118" s="295">
        <f t="shared" si="64"/>
        <v>-1</v>
      </c>
      <c r="N118" s="296"/>
      <c r="O118" s="380">
        <v>8453</v>
      </c>
      <c r="P118" s="167"/>
      <c r="Q118" s="294">
        <f t="shared" si="65"/>
        <v>-8453</v>
      </c>
      <c r="R118" s="295">
        <f t="shared" si="66"/>
        <v>-1</v>
      </c>
      <c r="S118" s="296"/>
      <c r="T118" s="380">
        <v>17580.78</v>
      </c>
      <c r="U118" s="167"/>
      <c r="V118" s="294">
        <f t="shared" si="67"/>
        <v>-17580.78</v>
      </c>
      <c r="W118" s="295">
        <f t="shared" si="68"/>
        <v>-1</v>
      </c>
      <c r="X118" s="296"/>
      <c r="Z118" s="1"/>
    </row>
    <row r="119" spans="1:26" s="287" customFormat="1" ht="17.100000000000001" customHeight="1" x14ac:dyDescent="0.2">
      <c r="A119" s="159">
        <v>2360</v>
      </c>
      <c r="B119" s="166" t="s">
        <v>342</v>
      </c>
      <c r="C119" s="385">
        <v>216175.8</v>
      </c>
      <c r="D119" s="385">
        <v>318519.40379999997</v>
      </c>
      <c r="E119" s="385">
        <f t="shared" ref="E119" si="94">SUM(E120:E125)</f>
        <v>76125.88</v>
      </c>
      <c r="F119" s="280"/>
      <c r="G119" s="294">
        <f t="shared" si="57"/>
        <v>-76125.88</v>
      </c>
      <c r="H119" s="295">
        <f t="shared" si="58"/>
        <v>-1</v>
      </c>
      <c r="I119" s="501"/>
      <c r="J119" s="385">
        <f t="shared" ref="J119" si="95">SUM(J120:J125)</f>
        <v>141349.28</v>
      </c>
      <c r="K119" s="385"/>
      <c r="L119" s="294">
        <f t="shared" si="63"/>
        <v>-141349.28</v>
      </c>
      <c r="M119" s="295">
        <f t="shared" si="64"/>
        <v>-1</v>
      </c>
      <c r="N119" s="501"/>
      <c r="O119" s="385">
        <f t="shared" ref="O119:P119" si="96">SUM(O120:O125)</f>
        <v>216232</v>
      </c>
      <c r="P119" s="280">
        <f t="shared" si="96"/>
        <v>0</v>
      </c>
      <c r="Q119" s="294">
        <f t="shared" si="65"/>
        <v>-216232</v>
      </c>
      <c r="R119" s="295">
        <f t="shared" si="66"/>
        <v>-1</v>
      </c>
      <c r="S119" s="501"/>
      <c r="T119" s="385">
        <v>318519.40379999997</v>
      </c>
      <c r="U119" s="280">
        <f t="shared" ref="U119" si="97">SUM(U120:U125)</f>
        <v>0</v>
      </c>
      <c r="V119" s="294">
        <f t="shared" si="67"/>
        <v>-318519.40379999997</v>
      </c>
      <c r="W119" s="295">
        <f t="shared" si="68"/>
        <v>-1</v>
      </c>
      <c r="X119" s="501"/>
      <c r="Z119" s="1"/>
    </row>
    <row r="120" spans="1:26" s="2" customFormat="1" ht="17.100000000000001" customHeight="1" x14ac:dyDescent="0.2">
      <c r="A120" s="286">
        <v>2361</v>
      </c>
      <c r="B120" s="163" t="s">
        <v>54</v>
      </c>
      <c r="C120" s="378">
        <v>10106.549999999999</v>
      </c>
      <c r="D120" s="378">
        <v>6423.2</v>
      </c>
      <c r="E120" s="378">
        <v>2879.2</v>
      </c>
      <c r="F120" s="142"/>
      <c r="G120" s="143">
        <f t="shared" si="57"/>
        <v>-2879.2</v>
      </c>
      <c r="H120" s="144">
        <f>IFERROR(G120/ABS(E120), "-")</f>
        <v>-1</v>
      </c>
      <c r="I120" s="502"/>
      <c r="J120" s="378">
        <v>3098.1</v>
      </c>
      <c r="K120" s="378"/>
      <c r="L120" s="143">
        <f t="shared" si="63"/>
        <v>-3098.1</v>
      </c>
      <c r="M120" s="144">
        <f t="shared" si="64"/>
        <v>-1</v>
      </c>
      <c r="N120" s="502"/>
      <c r="O120" s="379">
        <v>3098</v>
      </c>
      <c r="P120" s="142"/>
      <c r="Q120" s="143">
        <f t="shared" si="65"/>
        <v>-3098</v>
      </c>
      <c r="R120" s="144">
        <f t="shared" si="66"/>
        <v>-1</v>
      </c>
      <c r="S120" s="502"/>
      <c r="T120" s="379">
        <v>6423.2</v>
      </c>
      <c r="U120" s="142"/>
      <c r="V120" s="143">
        <f t="shared" si="67"/>
        <v>-6423.2</v>
      </c>
      <c r="W120" s="144">
        <f t="shared" si="68"/>
        <v>-1</v>
      </c>
      <c r="X120" s="502"/>
      <c r="Z120" s="1"/>
    </row>
    <row r="121" spans="1:26" s="2" customFormat="1" ht="17.100000000000001" customHeight="1" x14ac:dyDescent="0.2">
      <c r="A121" s="286">
        <v>2362</v>
      </c>
      <c r="B121" s="163" t="s">
        <v>55</v>
      </c>
      <c r="C121" s="378">
        <v>217.35</v>
      </c>
      <c r="D121" s="378">
        <v>879.93</v>
      </c>
      <c r="E121" s="378">
        <v>662.93</v>
      </c>
      <c r="F121" s="142"/>
      <c r="G121" s="143">
        <f t="shared" si="57"/>
        <v>-662.93</v>
      </c>
      <c r="H121" s="144">
        <f t="shared" si="58"/>
        <v>-1</v>
      </c>
      <c r="I121" s="502"/>
      <c r="J121" s="378">
        <v>662.93</v>
      </c>
      <c r="K121" s="378"/>
      <c r="L121" s="143">
        <f t="shared" si="63"/>
        <v>-662.93</v>
      </c>
      <c r="M121" s="144">
        <f t="shared" si="64"/>
        <v>-1</v>
      </c>
      <c r="N121" s="502"/>
      <c r="O121" s="379">
        <v>663</v>
      </c>
      <c r="P121" s="142"/>
      <c r="Q121" s="143">
        <f t="shared" si="65"/>
        <v>-663</v>
      </c>
      <c r="R121" s="144">
        <f t="shared" si="66"/>
        <v>-1</v>
      </c>
      <c r="S121" s="502"/>
      <c r="T121" s="378">
        <v>879.93</v>
      </c>
      <c r="U121" s="142"/>
      <c r="V121" s="143">
        <f t="shared" si="67"/>
        <v>-879.93</v>
      </c>
      <c r="W121" s="144">
        <f t="shared" si="68"/>
        <v>-1</v>
      </c>
      <c r="X121" s="502"/>
      <c r="Z121" s="1"/>
    </row>
    <row r="122" spans="1:26" s="2" customFormat="1" ht="17.100000000000001" customHeight="1" x14ac:dyDescent="0.2">
      <c r="A122" s="286">
        <v>2363</v>
      </c>
      <c r="B122" s="163" t="s">
        <v>56</v>
      </c>
      <c r="C122" s="378">
        <v>205851.9</v>
      </c>
      <c r="D122" s="378">
        <v>311216.27379999997</v>
      </c>
      <c r="E122" s="378">
        <v>72583.75</v>
      </c>
      <c r="F122" s="142"/>
      <c r="G122" s="143">
        <f t="shared" ref="G122:G173" si="98">F122-E122</f>
        <v>-72583.75</v>
      </c>
      <c r="H122" s="144">
        <f t="shared" ref="H122:H173" si="99">IFERROR(G122/ABS(E122), "-")</f>
        <v>-1</v>
      </c>
      <c r="I122" s="502"/>
      <c r="J122" s="378">
        <v>137588.25</v>
      </c>
      <c r="K122" s="378"/>
      <c r="L122" s="143">
        <f t="shared" si="63"/>
        <v>-137588.25</v>
      </c>
      <c r="M122" s="144">
        <f t="shared" si="64"/>
        <v>-1</v>
      </c>
      <c r="N122" s="502"/>
      <c r="O122" s="378">
        <f>202471+10000</f>
        <v>212471</v>
      </c>
      <c r="P122" s="142"/>
      <c r="Q122" s="143">
        <f t="shared" si="65"/>
        <v>-212471</v>
      </c>
      <c r="R122" s="144">
        <f t="shared" si="66"/>
        <v>-1</v>
      </c>
      <c r="S122" s="502"/>
      <c r="T122" s="378">
        <v>311216.27379999997</v>
      </c>
      <c r="U122" s="142"/>
      <c r="V122" s="143">
        <f t="shared" si="67"/>
        <v>-311216.27379999997</v>
      </c>
      <c r="W122" s="144">
        <f t="shared" si="68"/>
        <v>-1</v>
      </c>
      <c r="X122" s="502"/>
      <c r="Z122" s="1"/>
    </row>
    <row r="123" spans="1:26" s="2" customFormat="1" ht="17.100000000000001" customHeight="1" x14ac:dyDescent="0.2">
      <c r="A123" s="286">
        <v>2364</v>
      </c>
      <c r="B123" s="163" t="s">
        <v>343</v>
      </c>
      <c r="C123" s="378"/>
      <c r="D123" s="378">
        <v>0</v>
      </c>
      <c r="E123" s="378"/>
      <c r="F123" s="142"/>
      <c r="G123" s="143">
        <f t="shared" si="98"/>
        <v>0</v>
      </c>
      <c r="H123" s="144" t="str">
        <f t="shared" si="99"/>
        <v>-</v>
      </c>
      <c r="I123" s="502"/>
      <c r="J123" s="378"/>
      <c r="K123" s="378"/>
      <c r="L123" s="143">
        <f t="shared" si="63"/>
        <v>0</v>
      </c>
      <c r="M123" s="144" t="str">
        <f t="shared" si="64"/>
        <v>-</v>
      </c>
      <c r="N123" s="502"/>
      <c r="O123" s="378">
        <v>0</v>
      </c>
      <c r="P123" s="142"/>
      <c r="Q123" s="143">
        <f t="shared" si="65"/>
        <v>0</v>
      </c>
      <c r="R123" s="144" t="str">
        <f t="shared" si="66"/>
        <v>-</v>
      </c>
      <c r="S123" s="502"/>
      <c r="T123" s="378">
        <v>0</v>
      </c>
      <c r="U123" s="142"/>
      <c r="V123" s="143">
        <f t="shared" si="67"/>
        <v>0</v>
      </c>
      <c r="W123" s="144" t="str">
        <f t="shared" si="68"/>
        <v>-</v>
      </c>
      <c r="X123" s="502"/>
      <c r="Z123" s="1"/>
    </row>
    <row r="124" spans="1:26" s="4" customFormat="1" ht="17.100000000000001" customHeight="1" x14ac:dyDescent="0.2">
      <c r="A124" s="286">
        <v>2366</v>
      </c>
      <c r="B124" s="163" t="s">
        <v>57</v>
      </c>
      <c r="C124" s="378"/>
      <c r="D124" s="378">
        <v>0</v>
      </c>
      <c r="E124" s="378"/>
      <c r="F124" s="142"/>
      <c r="G124" s="143">
        <f t="shared" si="98"/>
        <v>0</v>
      </c>
      <c r="H124" s="144" t="str">
        <f t="shared" si="99"/>
        <v>-</v>
      </c>
      <c r="I124" s="502"/>
      <c r="J124" s="378"/>
      <c r="K124" s="378"/>
      <c r="L124" s="143">
        <f t="shared" si="63"/>
        <v>0</v>
      </c>
      <c r="M124" s="144" t="str">
        <f t="shared" si="64"/>
        <v>-</v>
      </c>
      <c r="N124" s="502"/>
      <c r="O124" s="378">
        <v>0</v>
      </c>
      <c r="P124" s="142"/>
      <c r="Q124" s="143">
        <f t="shared" si="65"/>
        <v>0</v>
      </c>
      <c r="R124" s="144" t="str">
        <f t="shared" si="66"/>
        <v>-</v>
      </c>
      <c r="S124" s="502"/>
      <c r="T124" s="378">
        <v>0</v>
      </c>
      <c r="U124" s="142"/>
      <c r="V124" s="143">
        <f t="shared" si="67"/>
        <v>0</v>
      </c>
      <c r="W124" s="144" t="str">
        <f t="shared" si="68"/>
        <v>-</v>
      </c>
      <c r="X124" s="502"/>
      <c r="Z124" s="1"/>
    </row>
    <row r="125" spans="1:26" s="4" customFormat="1" ht="35.1" customHeight="1" x14ac:dyDescent="0.2">
      <c r="A125" s="286">
        <v>2369</v>
      </c>
      <c r="B125" s="163" t="s">
        <v>134</v>
      </c>
      <c r="C125" s="378"/>
      <c r="D125" s="378">
        <v>0</v>
      </c>
      <c r="E125" s="378"/>
      <c r="F125" s="142"/>
      <c r="G125" s="143">
        <f t="shared" si="98"/>
        <v>0</v>
      </c>
      <c r="H125" s="144" t="str">
        <f t="shared" si="99"/>
        <v>-</v>
      </c>
      <c r="I125" s="503"/>
      <c r="J125" s="378"/>
      <c r="K125" s="378"/>
      <c r="L125" s="143">
        <f t="shared" si="63"/>
        <v>0</v>
      </c>
      <c r="M125" s="144" t="str">
        <f t="shared" si="64"/>
        <v>-</v>
      </c>
      <c r="N125" s="503"/>
      <c r="O125" s="378">
        <v>0</v>
      </c>
      <c r="P125" s="142"/>
      <c r="Q125" s="143">
        <f t="shared" si="65"/>
        <v>0</v>
      </c>
      <c r="R125" s="144" t="str">
        <f t="shared" si="66"/>
        <v>-</v>
      </c>
      <c r="S125" s="503"/>
      <c r="T125" s="378">
        <v>0</v>
      </c>
      <c r="U125" s="142"/>
      <c r="V125" s="143">
        <f t="shared" si="67"/>
        <v>0</v>
      </c>
      <c r="W125" s="144" t="str">
        <f t="shared" si="68"/>
        <v>-</v>
      </c>
      <c r="X125" s="503"/>
      <c r="Z125" s="1"/>
    </row>
    <row r="126" spans="1:26" s="287" customFormat="1" ht="17.100000000000001" customHeight="1" x14ac:dyDescent="0.2">
      <c r="A126" s="159">
        <v>2370</v>
      </c>
      <c r="B126" s="169" t="s">
        <v>58</v>
      </c>
      <c r="C126" s="380"/>
      <c r="D126" s="380">
        <v>0</v>
      </c>
      <c r="E126" s="380"/>
      <c r="F126" s="149"/>
      <c r="G126" s="294">
        <f t="shared" si="98"/>
        <v>0</v>
      </c>
      <c r="H126" s="295" t="str">
        <f t="shared" si="99"/>
        <v>-</v>
      </c>
      <c r="I126" s="296"/>
      <c r="J126" s="380"/>
      <c r="K126" s="380"/>
      <c r="L126" s="294">
        <f t="shared" si="63"/>
        <v>0</v>
      </c>
      <c r="M126" s="295" t="str">
        <f t="shared" si="64"/>
        <v>-</v>
      </c>
      <c r="N126" s="296"/>
      <c r="O126" s="380">
        <v>0</v>
      </c>
      <c r="P126" s="149"/>
      <c r="Q126" s="294">
        <f t="shared" si="65"/>
        <v>0</v>
      </c>
      <c r="R126" s="295" t="str">
        <f t="shared" si="66"/>
        <v>-</v>
      </c>
      <c r="S126" s="296"/>
      <c r="T126" s="380">
        <v>0</v>
      </c>
      <c r="U126" s="149"/>
      <c r="V126" s="294">
        <f t="shared" si="67"/>
        <v>0</v>
      </c>
      <c r="W126" s="295" t="str">
        <f t="shared" si="68"/>
        <v>-</v>
      </c>
      <c r="X126" s="296"/>
      <c r="Z126" s="1"/>
    </row>
    <row r="127" spans="1:26" s="287" customFormat="1" ht="17.100000000000001" customHeight="1" x14ac:dyDescent="0.2">
      <c r="A127" s="159">
        <v>2380</v>
      </c>
      <c r="B127" s="169" t="s">
        <v>59</v>
      </c>
      <c r="C127" s="380"/>
      <c r="D127" s="380">
        <v>0</v>
      </c>
      <c r="E127" s="380"/>
      <c r="F127" s="167"/>
      <c r="G127" s="294">
        <f t="shared" si="98"/>
        <v>0</v>
      </c>
      <c r="H127" s="295" t="str">
        <f t="shared" si="99"/>
        <v>-</v>
      </c>
      <c r="I127" s="296"/>
      <c r="J127" s="380"/>
      <c r="K127" s="380"/>
      <c r="L127" s="294">
        <f t="shared" si="63"/>
        <v>0</v>
      </c>
      <c r="M127" s="295" t="str">
        <f t="shared" si="64"/>
        <v>-</v>
      </c>
      <c r="N127" s="296"/>
      <c r="O127" s="380">
        <v>0</v>
      </c>
      <c r="P127" s="167"/>
      <c r="Q127" s="294">
        <f t="shared" si="65"/>
        <v>0</v>
      </c>
      <c r="R127" s="295" t="str">
        <f t="shared" si="66"/>
        <v>-</v>
      </c>
      <c r="S127" s="296"/>
      <c r="T127" s="380">
        <v>0</v>
      </c>
      <c r="U127" s="167"/>
      <c r="V127" s="294">
        <f t="shared" si="67"/>
        <v>0</v>
      </c>
      <c r="W127" s="295" t="str">
        <f t="shared" si="68"/>
        <v>-</v>
      </c>
      <c r="X127" s="296"/>
      <c r="Z127" s="1"/>
    </row>
    <row r="128" spans="1:26" s="289" customFormat="1" ht="17.100000000000001" customHeight="1" x14ac:dyDescent="0.2">
      <c r="A128" s="159">
        <v>2390</v>
      </c>
      <c r="B128" s="169" t="s">
        <v>60</v>
      </c>
      <c r="C128" s="380"/>
      <c r="D128" s="380">
        <v>0</v>
      </c>
      <c r="E128" s="380"/>
      <c r="F128" s="149"/>
      <c r="G128" s="294">
        <f t="shared" si="98"/>
        <v>0</v>
      </c>
      <c r="H128" s="295" t="str">
        <f t="shared" si="99"/>
        <v>-</v>
      </c>
      <c r="I128" s="296"/>
      <c r="J128" s="380"/>
      <c r="K128" s="380"/>
      <c r="L128" s="294">
        <f t="shared" si="63"/>
        <v>0</v>
      </c>
      <c r="M128" s="295" t="str">
        <f t="shared" si="64"/>
        <v>-</v>
      </c>
      <c r="N128" s="296"/>
      <c r="O128" s="380">
        <v>0</v>
      </c>
      <c r="P128" s="149"/>
      <c r="Q128" s="294">
        <f t="shared" si="65"/>
        <v>0</v>
      </c>
      <c r="R128" s="295" t="str">
        <f t="shared" si="66"/>
        <v>-</v>
      </c>
      <c r="S128" s="296"/>
      <c r="T128" s="380">
        <v>0</v>
      </c>
      <c r="U128" s="149"/>
      <c r="V128" s="294">
        <f t="shared" si="67"/>
        <v>0</v>
      </c>
      <c r="W128" s="295" t="str">
        <f t="shared" si="68"/>
        <v>-</v>
      </c>
      <c r="X128" s="296"/>
      <c r="Z128" s="1"/>
    </row>
    <row r="129" spans="1:26" ht="17.100000000000001" customHeight="1" x14ac:dyDescent="0.2">
      <c r="A129" s="126">
        <v>2500</v>
      </c>
      <c r="B129" s="183" t="s">
        <v>344</v>
      </c>
      <c r="C129" s="377">
        <v>1513731.66</v>
      </c>
      <c r="D129" s="377">
        <v>1556310.96</v>
      </c>
      <c r="E129" s="377">
        <f t="shared" ref="E129" si="100">SUM(E130+E138)</f>
        <v>486154.25999999995</v>
      </c>
      <c r="F129" s="182"/>
      <c r="G129" s="178">
        <f t="shared" si="98"/>
        <v>-486154.25999999995</v>
      </c>
      <c r="H129" s="179">
        <f t="shared" si="99"/>
        <v>-1</v>
      </c>
      <c r="I129" s="188"/>
      <c r="J129" s="377">
        <f t="shared" ref="J129" si="101">SUM(J130+J138)</f>
        <v>862911.62999999989</v>
      </c>
      <c r="K129" s="377"/>
      <c r="L129" s="178">
        <f t="shared" si="63"/>
        <v>-862911.62999999989</v>
      </c>
      <c r="M129" s="179">
        <f t="shared" si="64"/>
        <v>-1</v>
      </c>
      <c r="N129" s="188"/>
      <c r="O129" s="377">
        <f t="shared" ref="O129:P129" si="102">SUM(O130+O138)</f>
        <v>1108429.1599999999</v>
      </c>
      <c r="P129" s="182">
        <f t="shared" si="102"/>
        <v>0</v>
      </c>
      <c r="Q129" s="178">
        <f t="shared" si="65"/>
        <v>-1108429.1599999999</v>
      </c>
      <c r="R129" s="179">
        <f t="shared" si="66"/>
        <v>-1</v>
      </c>
      <c r="S129" s="188"/>
      <c r="T129" s="377">
        <v>1556310.96</v>
      </c>
      <c r="U129" s="182">
        <f t="shared" ref="U129" si="103">SUM(U130+U138)</f>
        <v>0</v>
      </c>
      <c r="V129" s="178">
        <f t="shared" si="67"/>
        <v>-1556310.96</v>
      </c>
      <c r="W129" s="179">
        <f t="shared" si="68"/>
        <v>-1</v>
      </c>
      <c r="X129" s="188"/>
    </row>
    <row r="130" spans="1:26" s="289" customFormat="1" ht="17.100000000000001" customHeight="1" x14ac:dyDescent="0.2">
      <c r="A130" s="159">
        <v>2510</v>
      </c>
      <c r="B130" s="169" t="s">
        <v>345</v>
      </c>
      <c r="C130" s="385">
        <v>1513731.66</v>
      </c>
      <c r="D130" s="385">
        <v>1556310.96</v>
      </c>
      <c r="E130" s="385">
        <f>SUM(E131:E137)</f>
        <v>486154.25999999995</v>
      </c>
      <c r="F130" s="280"/>
      <c r="G130" s="150">
        <f t="shared" si="98"/>
        <v>-486154.25999999995</v>
      </c>
      <c r="H130" s="151">
        <f t="shared" si="99"/>
        <v>-1</v>
      </c>
      <c r="I130" s="500"/>
      <c r="J130" s="385">
        <f t="shared" ref="J130" si="104">SUM(J131:J137)</f>
        <v>862911.62999999989</v>
      </c>
      <c r="K130" s="385"/>
      <c r="L130" s="150">
        <f t="shared" si="63"/>
        <v>-862911.62999999989</v>
      </c>
      <c r="M130" s="151">
        <f t="shared" si="64"/>
        <v>-1</v>
      </c>
      <c r="N130" s="500"/>
      <c r="O130" s="385">
        <f t="shared" ref="O130:P130" si="105">SUM(O131:O137)</f>
        <v>1108429.1599999999</v>
      </c>
      <c r="P130" s="280">
        <f t="shared" si="105"/>
        <v>0</v>
      </c>
      <c r="Q130" s="150">
        <f t="shared" si="65"/>
        <v>-1108429.1599999999</v>
      </c>
      <c r="R130" s="151">
        <f t="shared" si="66"/>
        <v>-1</v>
      </c>
      <c r="S130" s="500"/>
      <c r="T130" s="385">
        <v>1556310.96</v>
      </c>
      <c r="U130" s="280">
        <f t="shared" ref="U130" si="106">SUM(U131:U137)</f>
        <v>0</v>
      </c>
      <c r="V130" s="150">
        <f t="shared" si="67"/>
        <v>-1556310.96</v>
      </c>
      <c r="W130" s="151">
        <f t="shared" si="68"/>
        <v>-1</v>
      </c>
      <c r="X130" s="500"/>
      <c r="Z130" s="1"/>
    </row>
    <row r="131" spans="1:26" ht="17.100000000000001" customHeight="1" x14ac:dyDescent="0.2">
      <c r="A131" s="286">
        <v>2512</v>
      </c>
      <c r="B131" s="163" t="s">
        <v>61</v>
      </c>
      <c r="C131" s="378">
        <v>1493413.01</v>
      </c>
      <c r="D131" s="378">
        <v>1542131.0999999999</v>
      </c>
      <c r="E131" s="378">
        <v>482593.74</v>
      </c>
      <c r="F131" s="142"/>
      <c r="G131" s="143">
        <f t="shared" si="98"/>
        <v>-482593.74</v>
      </c>
      <c r="H131" s="144">
        <f t="shared" si="99"/>
        <v>-1</v>
      </c>
      <c r="I131" s="500"/>
      <c r="J131" s="378">
        <v>855784.11</v>
      </c>
      <c r="K131" s="378"/>
      <c r="L131" s="143">
        <f t="shared" si="63"/>
        <v>-855784.11</v>
      </c>
      <c r="M131" s="144">
        <f t="shared" si="64"/>
        <v>-1</v>
      </c>
      <c r="N131" s="500"/>
      <c r="O131" s="378">
        <f>997795+100000</f>
        <v>1097795</v>
      </c>
      <c r="P131" s="142"/>
      <c r="Q131" s="143">
        <f t="shared" si="65"/>
        <v>-1097795</v>
      </c>
      <c r="R131" s="144">
        <f t="shared" si="66"/>
        <v>-1</v>
      </c>
      <c r="S131" s="500"/>
      <c r="T131" s="378">
        <v>1542131.0999999999</v>
      </c>
      <c r="U131" s="142"/>
      <c r="V131" s="143">
        <f t="shared" si="67"/>
        <v>-1542131.0999999999</v>
      </c>
      <c r="W131" s="144">
        <f t="shared" si="68"/>
        <v>-1</v>
      </c>
      <c r="X131" s="500"/>
    </row>
    <row r="132" spans="1:26" ht="17.100000000000001" customHeight="1" x14ac:dyDescent="0.2">
      <c r="A132" s="286">
        <v>2513</v>
      </c>
      <c r="B132" s="163" t="s">
        <v>346</v>
      </c>
      <c r="C132" s="378">
        <v>11607.59</v>
      </c>
      <c r="D132" s="378">
        <v>11608.06</v>
      </c>
      <c r="E132" s="378">
        <f>661.26+2240.46</f>
        <v>2901.7200000000003</v>
      </c>
      <c r="F132" s="142"/>
      <c r="G132" s="143">
        <f t="shared" si="98"/>
        <v>-2901.7200000000003</v>
      </c>
      <c r="H132" s="144">
        <f t="shared" si="99"/>
        <v>-1</v>
      </c>
      <c r="I132" s="500"/>
      <c r="J132" s="378">
        <f>1322.52+4480.92</f>
        <v>5803.4400000000005</v>
      </c>
      <c r="K132" s="378"/>
      <c r="L132" s="143">
        <f t="shared" si="63"/>
        <v>-5803.4400000000005</v>
      </c>
      <c r="M132" s="144">
        <f t="shared" si="64"/>
        <v>-1</v>
      </c>
      <c r="N132" s="500"/>
      <c r="O132" s="378">
        <v>8705.16</v>
      </c>
      <c r="P132" s="142"/>
      <c r="Q132" s="143">
        <f t="shared" si="65"/>
        <v>-8705.16</v>
      </c>
      <c r="R132" s="144">
        <f t="shared" si="66"/>
        <v>-1</v>
      </c>
      <c r="S132" s="500"/>
      <c r="T132" s="378">
        <v>11608.06</v>
      </c>
      <c r="U132" s="142"/>
      <c r="V132" s="143">
        <f t="shared" si="67"/>
        <v>-11608.06</v>
      </c>
      <c r="W132" s="144">
        <f t="shared" si="68"/>
        <v>-1</v>
      </c>
      <c r="X132" s="500"/>
    </row>
    <row r="133" spans="1:26" ht="17.100000000000001" customHeight="1" x14ac:dyDescent="0.2">
      <c r="A133" s="286">
        <v>2514</v>
      </c>
      <c r="B133" s="163" t="s">
        <v>62</v>
      </c>
      <c r="C133" s="378"/>
      <c r="D133" s="378">
        <v>0</v>
      </c>
      <c r="E133" s="378"/>
      <c r="F133" s="142"/>
      <c r="G133" s="143">
        <f t="shared" si="98"/>
        <v>0</v>
      </c>
      <c r="H133" s="144" t="str">
        <f t="shared" si="99"/>
        <v>-</v>
      </c>
      <c r="I133" s="500"/>
      <c r="J133" s="378"/>
      <c r="K133" s="378"/>
      <c r="L133" s="143">
        <f t="shared" si="63"/>
        <v>0</v>
      </c>
      <c r="M133" s="144" t="str">
        <f t="shared" si="64"/>
        <v>-</v>
      </c>
      <c r="N133" s="500"/>
      <c r="O133" s="378">
        <v>0</v>
      </c>
      <c r="P133" s="142"/>
      <c r="Q133" s="143">
        <f t="shared" si="65"/>
        <v>0</v>
      </c>
      <c r="R133" s="144" t="str">
        <f t="shared" si="66"/>
        <v>-</v>
      </c>
      <c r="S133" s="500"/>
      <c r="T133" s="378">
        <v>0</v>
      </c>
      <c r="U133" s="142"/>
      <c r="V133" s="143">
        <f t="shared" si="67"/>
        <v>0</v>
      </c>
      <c r="W133" s="144" t="str">
        <f t="shared" si="68"/>
        <v>-</v>
      </c>
      <c r="X133" s="500"/>
    </row>
    <row r="134" spans="1:26" ht="17.100000000000001" customHeight="1" x14ac:dyDescent="0.2">
      <c r="A134" s="286">
        <v>2515</v>
      </c>
      <c r="B134" s="163" t="s">
        <v>63</v>
      </c>
      <c r="C134" s="378">
        <v>6158.66</v>
      </c>
      <c r="D134" s="378">
        <v>0</v>
      </c>
      <c r="E134" s="378"/>
      <c r="F134" s="142"/>
      <c r="G134" s="143">
        <f t="shared" si="98"/>
        <v>0</v>
      </c>
      <c r="H134" s="144" t="str">
        <f t="shared" si="99"/>
        <v>-</v>
      </c>
      <c r="I134" s="500"/>
      <c r="J134" s="378"/>
      <c r="K134" s="378"/>
      <c r="L134" s="143">
        <f t="shared" si="63"/>
        <v>0</v>
      </c>
      <c r="M134" s="144" t="str">
        <f t="shared" si="64"/>
        <v>-</v>
      </c>
      <c r="N134" s="500"/>
      <c r="O134" s="378">
        <v>0</v>
      </c>
      <c r="P134" s="142"/>
      <c r="Q134" s="143">
        <f t="shared" si="65"/>
        <v>0</v>
      </c>
      <c r="R134" s="144" t="str">
        <f t="shared" si="66"/>
        <v>-</v>
      </c>
      <c r="S134" s="500"/>
      <c r="T134" s="378">
        <v>0</v>
      </c>
      <c r="U134" s="142"/>
      <c r="V134" s="143">
        <f t="shared" si="67"/>
        <v>0</v>
      </c>
      <c r="W134" s="144" t="str">
        <f t="shared" si="68"/>
        <v>-</v>
      </c>
      <c r="X134" s="500"/>
    </row>
    <row r="135" spans="1:26" ht="17.100000000000001" customHeight="1" x14ac:dyDescent="0.2">
      <c r="A135" s="286">
        <v>2516</v>
      </c>
      <c r="B135" s="163" t="s">
        <v>135</v>
      </c>
      <c r="C135" s="378"/>
      <c r="D135" s="378">
        <v>0</v>
      </c>
      <c r="E135" s="378"/>
      <c r="F135" s="142"/>
      <c r="G135" s="143">
        <f t="shared" si="98"/>
        <v>0</v>
      </c>
      <c r="H135" s="144" t="str">
        <f t="shared" si="99"/>
        <v>-</v>
      </c>
      <c r="I135" s="500"/>
      <c r="J135" s="378"/>
      <c r="K135" s="378"/>
      <c r="L135" s="143">
        <f t="shared" ref="L135:L173" si="107">K135-J135</f>
        <v>0</v>
      </c>
      <c r="M135" s="144" t="str">
        <f t="shared" ref="M135:M173" si="108">IFERROR(L135/ABS(J135), "-")</f>
        <v>-</v>
      </c>
      <c r="N135" s="500"/>
      <c r="O135" s="378">
        <v>0</v>
      </c>
      <c r="P135" s="142"/>
      <c r="Q135" s="143">
        <f t="shared" ref="Q135:Q173" si="109">P135-O135</f>
        <v>0</v>
      </c>
      <c r="R135" s="144" t="str">
        <f t="shared" ref="R135:R173" si="110">IFERROR(Q135/ABS(O135), "-")</f>
        <v>-</v>
      </c>
      <c r="S135" s="500"/>
      <c r="T135" s="378">
        <v>0</v>
      </c>
      <c r="U135" s="142"/>
      <c r="V135" s="143">
        <f t="shared" ref="V135:V173" si="111">U135-T135</f>
        <v>0</v>
      </c>
      <c r="W135" s="144" t="str">
        <f t="shared" ref="W135:W173" si="112">IFERROR(V135/ABS(T135), "-")</f>
        <v>-</v>
      </c>
      <c r="X135" s="500"/>
    </row>
    <row r="136" spans="1:26" ht="17.100000000000001" customHeight="1" x14ac:dyDescent="0.2">
      <c r="A136" s="297">
        <v>2518</v>
      </c>
      <c r="B136" s="170" t="s">
        <v>64</v>
      </c>
      <c r="C136" s="379">
        <v>2552.4</v>
      </c>
      <c r="D136" s="378">
        <v>2571.8000000000002</v>
      </c>
      <c r="E136" s="378">
        <v>658.8</v>
      </c>
      <c r="F136" s="142"/>
      <c r="G136" s="143">
        <f t="shared" si="98"/>
        <v>-658.8</v>
      </c>
      <c r="H136" s="144">
        <f t="shared" si="99"/>
        <v>-1</v>
      </c>
      <c r="I136" s="500"/>
      <c r="J136" s="378">
        <v>1324.08</v>
      </c>
      <c r="K136" s="378"/>
      <c r="L136" s="143">
        <f t="shared" si="107"/>
        <v>-1324.08</v>
      </c>
      <c r="M136" s="144">
        <f t="shared" si="108"/>
        <v>-1</v>
      </c>
      <c r="N136" s="500"/>
      <c r="O136" s="378">
        <v>1929</v>
      </c>
      <c r="P136" s="142"/>
      <c r="Q136" s="143">
        <f t="shared" si="109"/>
        <v>-1929</v>
      </c>
      <c r="R136" s="144">
        <f t="shared" si="110"/>
        <v>-1</v>
      </c>
      <c r="S136" s="500"/>
      <c r="T136" s="378">
        <v>2571.8000000000002</v>
      </c>
      <c r="U136" s="142"/>
      <c r="V136" s="143">
        <f t="shared" si="111"/>
        <v>-2571.8000000000002</v>
      </c>
      <c r="W136" s="144">
        <f t="shared" si="112"/>
        <v>-1</v>
      </c>
      <c r="X136" s="500"/>
    </row>
    <row r="137" spans="1:26" s="2" customFormat="1" ht="17.100000000000001" customHeight="1" x14ac:dyDescent="0.2">
      <c r="A137" s="286">
        <v>2519</v>
      </c>
      <c r="B137" s="163" t="s">
        <v>65</v>
      </c>
      <c r="C137" s="378"/>
      <c r="D137" s="378">
        <v>0</v>
      </c>
      <c r="E137" s="378"/>
      <c r="F137" s="142"/>
      <c r="G137" s="143">
        <f t="shared" si="98"/>
        <v>0</v>
      </c>
      <c r="H137" s="144" t="str">
        <f t="shared" si="99"/>
        <v>-</v>
      </c>
      <c r="I137" s="500"/>
      <c r="J137" s="378"/>
      <c r="K137" s="378"/>
      <c r="L137" s="143">
        <f t="shared" si="107"/>
        <v>0</v>
      </c>
      <c r="M137" s="144" t="str">
        <f t="shared" si="108"/>
        <v>-</v>
      </c>
      <c r="N137" s="500"/>
      <c r="O137" s="378">
        <v>0</v>
      </c>
      <c r="P137" s="142"/>
      <c r="Q137" s="143">
        <f t="shared" si="109"/>
        <v>0</v>
      </c>
      <c r="R137" s="144" t="str">
        <f t="shared" si="110"/>
        <v>-</v>
      </c>
      <c r="S137" s="500"/>
      <c r="T137" s="378">
        <v>0</v>
      </c>
      <c r="U137" s="142"/>
      <c r="V137" s="143">
        <f t="shared" si="111"/>
        <v>0</v>
      </c>
      <c r="W137" s="144" t="str">
        <f t="shared" si="112"/>
        <v>-</v>
      </c>
      <c r="X137" s="500"/>
      <c r="Z137" s="1"/>
    </row>
    <row r="138" spans="1:26" ht="17.100000000000001" customHeight="1" x14ac:dyDescent="0.2">
      <c r="A138" s="159">
        <v>2520</v>
      </c>
      <c r="B138" s="166" t="s">
        <v>347</v>
      </c>
      <c r="C138" s="380"/>
      <c r="D138" s="380">
        <v>0</v>
      </c>
      <c r="E138" s="380"/>
      <c r="F138" s="149"/>
      <c r="G138" s="150">
        <f t="shared" si="98"/>
        <v>0</v>
      </c>
      <c r="H138" s="151" t="str">
        <f t="shared" si="99"/>
        <v>-</v>
      </c>
      <c r="I138" s="173"/>
      <c r="J138" s="380"/>
      <c r="K138" s="380"/>
      <c r="L138" s="150">
        <f t="shared" si="107"/>
        <v>0</v>
      </c>
      <c r="M138" s="151" t="str">
        <f t="shared" si="108"/>
        <v>-</v>
      </c>
      <c r="N138" s="173"/>
      <c r="O138" s="380">
        <v>0</v>
      </c>
      <c r="P138" s="149"/>
      <c r="Q138" s="150">
        <f t="shared" si="109"/>
        <v>0</v>
      </c>
      <c r="R138" s="151" t="str">
        <f t="shared" si="110"/>
        <v>-</v>
      </c>
      <c r="S138" s="173"/>
      <c r="T138" s="380">
        <v>0</v>
      </c>
      <c r="U138" s="149"/>
      <c r="V138" s="150">
        <f t="shared" si="111"/>
        <v>0</v>
      </c>
      <c r="W138" s="151" t="str">
        <f t="shared" si="112"/>
        <v>-</v>
      </c>
      <c r="X138" s="173"/>
    </row>
    <row r="139" spans="1:26" ht="32.1" customHeight="1" x14ac:dyDescent="0.2">
      <c r="A139" s="126">
        <v>2800</v>
      </c>
      <c r="B139" s="183" t="s">
        <v>533</v>
      </c>
      <c r="C139" s="387"/>
      <c r="D139" s="387">
        <v>0</v>
      </c>
      <c r="E139" s="387"/>
      <c r="F139" s="349"/>
      <c r="G139" s="178"/>
      <c r="H139" s="179"/>
      <c r="I139" s="350"/>
      <c r="J139" s="387"/>
      <c r="K139" s="387"/>
      <c r="L139" s="178"/>
      <c r="M139" s="179"/>
      <c r="N139" s="350"/>
      <c r="O139" s="387">
        <v>0</v>
      </c>
      <c r="P139" s="349"/>
      <c r="Q139" s="178"/>
      <c r="R139" s="179"/>
      <c r="S139" s="350"/>
      <c r="T139" s="387">
        <v>0</v>
      </c>
      <c r="U139" s="349"/>
      <c r="V139" s="178"/>
      <c r="W139" s="179"/>
      <c r="X139" s="350"/>
    </row>
    <row r="140" spans="1:26" ht="17.100000000000001" customHeight="1" x14ac:dyDescent="0.2">
      <c r="A140" s="281">
        <v>4000</v>
      </c>
      <c r="B140" s="291" t="s">
        <v>66</v>
      </c>
      <c r="C140" s="376">
        <v>0</v>
      </c>
      <c r="D140" s="376">
        <v>0</v>
      </c>
      <c r="E140" s="376">
        <f>E141+E142+E143</f>
        <v>0</v>
      </c>
      <c r="F140" s="282"/>
      <c r="G140" s="283">
        <f t="shared" si="98"/>
        <v>0</v>
      </c>
      <c r="H140" s="284" t="str">
        <f t="shared" si="99"/>
        <v>-</v>
      </c>
      <c r="I140" s="285"/>
      <c r="J140" s="376">
        <f>J141+J142+J143</f>
        <v>0</v>
      </c>
      <c r="K140" s="376"/>
      <c r="L140" s="283">
        <f t="shared" si="107"/>
        <v>0</v>
      </c>
      <c r="M140" s="284" t="str">
        <f t="shared" si="108"/>
        <v>-</v>
      </c>
      <c r="N140" s="285"/>
      <c r="O140" s="376">
        <v>0</v>
      </c>
      <c r="P140" s="282">
        <f>P141+P142+P143</f>
        <v>0</v>
      </c>
      <c r="Q140" s="283">
        <f t="shared" si="109"/>
        <v>0</v>
      </c>
      <c r="R140" s="284" t="str">
        <f t="shared" si="110"/>
        <v>-</v>
      </c>
      <c r="S140" s="285"/>
      <c r="T140" s="376">
        <v>0</v>
      </c>
      <c r="U140" s="282">
        <f>U141+U142+U143</f>
        <v>0</v>
      </c>
      <c r="V140" s="283">
        <f t="shared" si="111"/>
        <v>0</v>
      </c>
      <c r="W140" s="284" t="str">
        <f t="shared" si="112"/>
        <v>-</v>
      </c>
      <c r="X140" s="285"/>
    </row>
    <row r="141" spans="1:26" s="289" customFormat="1" ht="17.100000000000001" customHeight="1" x14ac:dyDescent="0.2">
      <c r="A141" s="298">
        <v>4100</v>
      </c>
      <c r="B141" s="166" t="s">
        <v>67</v>
      </c>
      <c r="C141" s="385">
        <v>0</v>
      </c>
      <c r="D141" s="385">
        <v>0</v>
      </c>
      <c r="E141" s="385"/>
      <c r="F141" s="280"/>
      <c r="G141" s="150">
        <f t="shared" si="98"/>
        <v>0</v>
      </c>
      <c r="H141" s="151" t="str">
        <f t="shared" si="99"/>
        <v>-</v>
      </c>
      <c r="I141" s="299"/>
      <c r="J141" s="385"/>
      <c r="K141" s="385"/>
      <c r="L141" s="150"/>
      <c r="M141" s="151" t="str">
        <f t="shared" si="108"/>
        <v>-</v>
      </c>
      <c r="N141" s="299"/>
      <c r="O141" s="385">
        <v>0</v>
      </c>
      <c r="P141" s="280"/>
      <c r="Q141" s="150">
        <f t="shared" si="109"/>
        <v>0</v>
      </c>
      <c r="R141" s="151" t="str">
        <f t="shared" si="110"/>
        <v>-</v>
      </c>
      <c r="S141" s="299"/>
      <c r="T141" s="385">
        <v>0</v>
      </c>
      <c r="U141" s="280"/>
      <c r="V141" s="150">
        <f t="shared" si="111"/>
        <v>0</v>
      </c>
      <c r="W141" s="151" t="str">
        <f t="shared" si="112"/>
        <v>-</v>
      </c>
      <c r="X141" s="299"/>
      <c r="Z141" s="1"/>
    </row>
    <row r="142" spans="1:26" s="289" customFormat="1" ht="17.100000000000001" customHeight="1" x14ac:dyDescent="0.2">
      <c r="A142" s="298">
        <v>4200</v>
      </c>
      <c r="B142" s="169" t="s">
        <v>68</v>
      </c>
      <c r="C142" s="385">
        <v>0</v>
      </c>
      <c r="D142" s="385">
        <v>0</v>
      </c>
      <c r="E142" s="385"/>
      <c r="F142" s="280"/>
      <c r="G142" s="150">
        <f t="shared" si="98"/>
        <v>0</v>
      </c>
      <c r="H142" s="151" t="str">
        <f t="shared" si="99"/>
        <v>-</v>
      </c>
      <c r="I142" s="299"/>
      <c r="J142" s="385"/>
      <c r="K142" s="385"/>
      <c r="L142" s="150">
        <f t="shared" si="107"/>
        <v>0</v>
      </c>
      <c r="M142" s="151" t="str">
        <f t="shared" si="108"/>
        <v>-</v>
      </c>
      <c r="N142" s="299"/>
      <c r="O142" s="385">
        <v>0</v>
      </c>
      <c r="P142" s="280"/>
      <c r="Q142" s="150">
        <f t="shared" si="109"/>
        <v>0</v>
      </c>
      <c r="R142" s="151" t="str">
        <f t="shared" si="110"/>
        <v>-</v>
      </c>
      <c r="S142" s="299"/>
      <c r="T142" s="385">
        <v>0</v>
      </c>
      <c r="U142" s="290"/>
      <c r="V142" s="150">
        <f t="shared" si="111"/>
        <v>0</v>
      </c>
      <c r="W142" s="151" t="str">
        <f t="shared" si="112"/>
        <v>-</v>
      </c>
      <c r="X142" s="299"/>
      <c r="Z142" s="1"/>
    </row>
    <row r="143" spans="1:26" s="289" customFormat="1" ht="17.100000000000001" customHeight="1" x14ac:dyDescent="0.2">
      <c r="A143" s="159">
        <v>4300</v>
      </c>
      <c r="B143" s="166" t="s">
        <v>69</v>
      </c>
      <c r="C143" s="385">
        <v>0</v>
      </c>
      <c r="D143" s="385">
        <v>0</v>
      </c>
      <c r="E143" s="385"/>
      <c r="F143" s="280"/>
      <c r="G143" s="150">
        <f t="shared" si="98"/>
        <v>0</v>
      </c>
      <c r="H143" s="151" t="str">
        <f t="shared" si="99"/>
        <v>-</v>
      </c>
      <c r="I143" s="299"/>
      <c r="J143" s="385"/>
      <c r="K143" s="385"/>
      <c r="L143" s="150">
        <f t="shared" si="107"/>
        <v>0</v>
      </c>
      <c r="M143" s="151" t="str">
        <f t="shared" si="108"/>
        <v>-</v>
      </c>
      <c r="N143" s="299"/>
      <c r="O143" s="385">
        <v>0</v>
      </c>
      <c r="P143" s="280"/>
      <c r="Q143" s="150">
        <f t="shared" si="109"/>
        <v>0</v>
      </c>
      <c r="R143" s="151" t="str">
        <f t="shared" si="110"/>
        <v>-</v>
      </c>
      <c r="S143" s="299"/>
      <c r="T143" s="385">
        <v>0</v>
      </c>
      <c r="U143" s="280"/>
      <c r="V143" s="150">
        <f t="shared" si="111"/>
        <v>0</v>
      </c>
      <c r="W143" s="151" t="str">
        <f t="shared" si="112"/>
        <v>-</v>
      </c>
      <c r="X143" s="299"/>
      <c r="Z143" s="1"/>
    </row>
    <row r="144" spans="1:26" ht="17.100000000000001" customHeight="1" x14ac:dyDescent="0.2">
      <c r="A144" s="309" t="s">
        <v>70</v>
      </c>
      <c r="B144" s="310" t="s">
        <v>71</v>
      </c>
      <c r="C144" s="375">
        <v>24047695.460000001</v>
      </c>
      <c r="D144" s="375">
        <v>25907822.130799998</v>
      </c>
      <c r="E144" s="375">
        <f>E32</f>
        <v>6527029.5299999993</v>
      </c>
      <c r="F144" s="311"/>
      <c r="G144" s="312">
        <f t="shared" si="98"/>
        <v>-6527029.5299999993</v>
      </c>
      <c r="H144" s="313">
        <f t="shared" si="99"/>
        <v>-1</v>
      </c>
      <c r="I144" s="314"/>
      <c r="J144" s="375">
        <f>J32</f>
        <v>13045655.879999999</v>
      </c>
      <c r="K144" s="375"/>
      <c r="L144" s="312">
        <f t="shared" si="107"/>
        <v>-13045655.879999999</v>
      </c>
      <c r="M144" s="313">
        <f t="shared" si="108"/>
        <v>-1</v>
      </c>
      <c r="N144" s="314"/>
      <c r="O144" s="375">
        <f>O32</f>
        <v>18768211.336999997</v>
      </c>
      <c r="P144" s="311">
        <f>P32</f>
        <v>0</v>
      </c>
      <c r="Q144" s="312">
        <f t="shared" si="109"/>
        <v>-18768211.336999997</v>
      </c>
      <c r="R144" s="313">
        <f t="shared" si="110"/>
        <v>-1</v>
      </c>
      <c r="S144" s="314"/>
      <c r="T144" s="375">
        <v>25907822.130799998</v>
      </c>
      <c r="U144" s="311">
        <f>U32</f>
        <v>0</v>
      </c>
      <c r="V144" s="312">
        <f t="shared" si="111"/>
        <v>-25907822.130799998</v>
      </c>
      <c r="W144" s="313">
        <f t="shared" si="112"/>
        <v>-1</v>
      </c>
      <c r="X144" s="314"/>
    </row>
    <row r="145" spans="1:26" ht="17.100000000000001" customHeight="1" x14ac:dyDescent="0.2">
      <c r="A145" s="309" t="s">
        <v>72</v>
      </c>
      <c r="B145" s="310" t="s">
        <v>292</v>
      </c>
      <c r="C145" s="375">
        <v>952366.76999999583</v>
      </c>
      <c r="D145" s="375">
        <v>867954.31249755574</v>
      </c>
      <c r="E145" s="375">
        <f>E3-E144</f>
        <v>-467665.90999999922</v>
      </c>
      <c r="F145" s="311"/>
      <c r="G145" s="312">
        <f t="shared" si="98"/>
        <v>467665.90999999922</v>
      </c>
      <c r="H145" s="313">
        <f t="shared" si="99"/>
        <v>1</v>
      </c>
      <c r="I145" s="314"/>
      <c r="J145" s="375">
        <f>J3-J144</f>
        <v>-763155.70000000112</v>
      </c>
      <c r="K145" s="375"/>
      <c r="L145" s="312">
        <f t="shared" si="107"/>
        <v>763155.70000000112</v>
      </c>
      <c r="M145" s="313">
        <f t="shared" si="108"/>
        <v>1</v>
      </c>
      <c r="N145" s="314"/>
      <c r="O145" s="375">
        <f>O3-O144</f>
        <v>623720.6630000025</v>
      </c>
      <c r="P145" s="311">
        <f>P3-P144</f>
        <v>0</v>
      </c>
      <c r="Q145" s="312">
        <f t="shared" si="109"/>
        <v>-623720.6630000025</v>
      </c>
      <c r="R145" s="313">
        <f t="shared" si="110"/>
        <v>-1</v>
      </c>
      <c r="S145" s="314"/>
      <c r="T145" s="375">
        <v>867954.31249755574</v>
      </c>
      <c r="U145" s="311">
        <f>U3-U144</f>
        <v>0</v>
      </c>
      <c r="V145" s="312">
        <f t="shared" si="111"/>
        <v>-867954.31249755574</v>
      </c>
      <c r="W145" s="313">
        <f t="shared" si="112"/>
        <v>-1</v>
      </c>
      <c r="X145" s="314"/>
    </row>
    <row r="146" spans="1:26" s="2" customFormat="1" ht="17.100000000000001" customHeight="1" x14ac:dyDescent="0.2">
      <c r="A146" s="190">
        <v>5000</v>
      </c>
      <c r="B146" s="181" t="s">
        <v>508</v>
      </c>
      <c r="C146" s="388">
        <v>903855.77</v>
      </c>
      <c r="D146" s="388">
        <v>921393.98000000021</v>
      </c>
      <c r="E146" s="388">
        <f t="shared" ref="E146" si="113">E147+E148</f>
        <v>238552.94</v>
      </c>
      <c r="F146" s="187"/>
      <c r="G146" s="178">
        <f t="shared" si="98"/>
        <v>-238552.94</v>
      </c>
      <c r="H146" s="179">
        <f t="shared" si="99"/>
        <v>-1</v>
      </c>
      <c r="I146" s="188"/>
      <c r="J146" s="388">
        <f t="shared" ref="J146" si="114">J147+J148</f>
        <v>472211.68000000005</v>
      </c>
      <c r="K146" s="388"/>
      <c r="L146" s="178">
        <f t="shared" si="107"/>
        <v>-472211.68000000005</v>
      </c>
      <c r="M146" s="179">
        <f t="shared" si="108"/>
        <v>-1</v>
      </c>
      <c r="N146" s="188"/>
      <c r="O146" s="388">
        <f t="shared" ref="O146:P146" si="115">O147+O148</f>
        <v>697885.85</v>
      </c>
      <c r="P146" s="187">
        <f t="shared" si="115"/>
        <v>0</v>
      </c>
      <c r="Q146" s="178">
        <f t="shared" si="109"/>
        <v>-697885.85</v>
      </c>
      <c r="R146" s="179">
        <f t="shared" si="110"/>
        <v>-1</v>
      </c>
      <c r="S146" s="188"/>
      <c r="T146" s="388">
        <v>921393.98000000021</v>
      </c>
      <c r="U146" s="187">
        <f t="shared" ref="U146" si="116">U147+U148</f>
        <v>0</v>
      </c>
      <c r="V146" s="178">
        <f t="shared" si="111"/>
        <v>-921393.98000000021</v>
      </c>
      <c r="W146" s="179">
        <f t="shared" si="112"/>
        <v>-1</v>
      </c>
      <c r="X146" s="188"/>
      <c r="Z146" s="1"/>
    </row>
    <row r="147" spans="1:26" ht="17.100000000000001" customHeight="1" x14ac:dyDescent="0.2">
      <c r="A147" s="15">
        <v>5100</v>
      </c>
      <c r="B147" s="148" t="s">
        <v>348</v>
      </c>
      <c r="C147" s="378">
        <v>23256.13</v>
      </c>
      <c r="D147" s="378">
        <v>22507.800000000003</v>
      </c>
      <c r="E147" s="378">
        <v>5626.95</v>
      </c>
      <c r="F147" s="142"/>
      <c r="G147" s="143">
        <f t="shared" si="98"/>
        <v>-5626.95</v>
      </c>
      <c r="H147" s="144">
        <f t="shared" si="99"/>
        <v>-1</v>
      </c>
      <c r="I147" s="168"/>
      <c r="J147" s="378">
        <v>11253.9</v>
      </c>
      <c r="K147" s="378"/>
      <c r="L147" s="143">
        <f t="shared" si="107"/>
        <v>-11253.9</v>
      </c>
      <c r="M147" s="144">
        <f t="shared" si="108"/>
        <v>-1</v>
      </c>
      <c r="N147" s="168"/>
      <c r="O147" s="378">
        <v>16880.849999999999</v>
      </c>
      <c r="P147" s="142"/>
      <c r="Q147" s="143">
        <f t="shared" si="109"/>
        <v>-16880.849999999999</v>
      </c>
      <c r="R147" s="144">
        <f t="shared" si="110"/>
        <v>-1</v>
      </c>
      <c r="S147" s="168"/>
      <c r="T147" s="378">
        <v>22507.800000000003</v>
      </c>
      <c r="U147" s="142"/>
      <c r="V147" s="143">
        <f t="shared" si="111"/>
        <v>-22507.800000000003</v>
      </c>
      <c r="W147" s="144">
        <f t="shared" si="112"/>
        <v>-1</v>
      </c>
      <c r="X147" s="168"/>
    </row>
    <row r="148" spans="1:26" s="289" customFormat="1" ht="17.100000000000001" customHeight="1" x14ac:dyDescent="0.2">
      <c r="A148" s="300">
        <v>5200</v>
      </c>
      <c r="B148" s="148" t="s">
        <v>73</v>
      </c>
      <c r="C148" s="385">
        <v>880599.64</v>
      </c>
      <c r="D148" s="385">
        <v>898886.18000000028</v>
      </c>
      <c r="E148" s="385">
        <v>232925.99</v>
      </c>
      <c r="F148" s="290"/>
      <c r="G148" s="150">
        <f t="shared" si="98"/>
        <v>-232925.99</v>
      </c>
      <c r="H148" s="151">
        <f t="shared" si="99"/>
        <v>-1</v>
      </c>
      <c r="I148" s="501"/>
      <c r="J148" s="385">
        <v>460957.78</v>
      </c>
      <c r="K148" s="385"/>
      <c r="L148" s="150">
        <f t="shared" si="107"/>
        <v>-460957.78</v>
      </c>
      <c r="M148" s="151">
        <f t="shared" si="108"/>
        <v>-1</v>
      </c>
      <c r="N148" s="501"/>
      <c r="O148" s="385">
        <v>681005</v>
      </c>
      <c r="P148" s="290">
        <f t="shared" ref="P148" si="117">SUM(P149:P152)</f>
        <v>0</v>
      </c>
      <c r="Q148" s="150">
        <f t="shared" si="109"/>
        <v>-681005</v>
      </c>
      <c r="R148" s="151">
        <f t="shared" si="110"/>
        <v>-1</v>
      </c>
      <c r="S148" s="501"/>
      <c r="T148" s="385">
        <v>898886.18000000028</v>
      </c>
      <c r="U148" s="290">
        <f t="shared" ref="U148" si="118">SUM(U149:U152)</f>
        <v>0</v>
      </c>
      <c r="V148" s="150">
        <f t="shared" si="111"/>
        <v>-898886.18000000028</v>
      </c>
      <c r="W148" s="151">
        <f t="shared" si="112"/>
        <v>-1</v>
      </c>
      <c r="X148" s="501"/>
      <c r="Z148" s="1"/>
    </row>
    <row r="149" spans="1:26" ht="17.100000000000001" customHeight="1" x14ac:dyDescent="0.2">
      <c r="A149" s="301">
        <v>5210</v>
      </c>
      <c r="B149" s="76" t="s">
        <v>74</v>
      </c>
      <c r="C149" s="378"/>
      <c r="D149" s="378">
        <v>0</v>
      </c>
      <c r="E149" s="378"/>
      <c r="F149" s="142"/>
      <c r="G149" s="143">
        <f t="shared" si="98"/>
        <v>0</v>
      </c>
      <c r="H149" s="144" t="str">
        <f t="shared" si="99"/>
        <v>-</v>
      </c>
      <c r="I149" s="502"/>
      <c r="J149" s="378"/>
      <c r="K149" s="378"/>
      <c r="L149" s="143">
        <f t="shared" si="107"/>
        <v>0</v>
      </c>
      <c r="M149" s="144" t="str">
        <f t="shared" si="108"/>
        <v>-</v>
      </c>
      <c r="N149" s="502"/>
      <c r="O149" s="378">
        <v>0</v>
      </c>
      <c r="P149" s="142"/>
      <c r="Q149" s="143">
        <f t="shared" si="109"/>
        <v>0</v>
      </c>
      <c r="R149" s="144" t="str">
        <f t="shared" si="110"/>
        <v>-</v>
      </c>
      <c r="S149" s="502"/>
      <c r="T149" s="378">
        <v>0</v>
      </c>
      <c r="U149" s="142"/>
      <c r="V149" s="143">
        <f t="shared" si="111"/>
        <v>0</v>
      </c>
      <c r="W149" s="144" t="str">
        <f t="shared" si="112"/>
        <v>-</v>
      </c>
      <c r="X149" s="502"/>
    </row>
    <row r="150" spans="1:26" ht="17.100000000000001" customHeight="1" x14ac:dyDescent="0.2">
      <c r="A150" s="301">
        <v>5220</v>
      </c>
      <c r="B150" s="76" t="s">
        <v>75</v>
      </c>
      <c r="C150" s="378"/>
      <c r="D150" s="378">
        <v>0</v>
      </c>
      <c r="E150" s="378"/>
      <c r="F150" s="142"/>
      <c r="G150" s="143">
        <f t="shared" si="98"/>
        <v>0</v>
      </c>
      <c r="H150" s="144" t="str">
        <f t="shared" si="99"/>
        <v>-</v>
      </c>
      <c r="I150" s="502"/>
      <c r="J150" s="378"/>
      <c r="K150" s="378"/>
      <c r="L150" s="143">
        <f t="shared" si="107"/>
        <v>0</v>
      </c>
      <c r="M150" s="144" t="str">
        <f t="shared" si="108"/>
        <v>-</v>
      </c>
      <c r="N150" s="502"/>
      <c r="O150" s="378">
        <v>0</v>
      </c>
      <c r="P150" s="142"/>
      <c r="Q150" s="143">
        <f t="shared" si="109"/>
        <v>0</v>
      </c>
      <c r="R150" s="144" t="str">
        <f t="shared" si="110"/>
        <v>-</v>
      </c>
      <c r="S150" s="502"/>
      <c r="T150" s="378">
        <v>0</v>
      </c>
      <c r="U150" s="142"/>
      <c r="V150" s="143">
        <f t="shared" si="111"/>
        <v>0</v>
      </c>
      <c r="W150" s="144" t="str">
        <f t="shared" si="112"/>
        <v>-</v>
      </c>
      <c r="X150" s="502"/>
    </row>
    <row r="151" spans="1:26" ht="17.100000000000001" customHeight="1" x14ac:dyDescent="0.2">
      <c r="A151" s="301">
        <v>5230</v>
      </c>
      <c r="B151" s="76" t="s">
        <v>76</v>
      </c>
      <c r="C151" s="378"/>
      <c r="D151" s="378">
        <v>0</v>
      </c>
      <c r="E151" s="378"/>
      <c r="F151" s="142"/>
      <c r="G151" s="143">
        <f t="shared" si="98"/>
        <v>0</v>
      </c>
      <c r="H151" s="144" t="str">
        <f t="shared" si="99"/>
        <v>-</v>
      </c>
      <c r="I151" s="502"/>
      <c r="J151" s="378"/>
      <c r="K151" s="378"/>
      <c r="L151" s="143">
        <f t="shared" si="107"/>
        <v>0</v>
      </c>
      <c r="M151" s="144" t="str">
        <f t="shared" si="108"/>
        <v>-</v>
      </c>
      <c r="N151" s="502"/>
      <c r="O151" s="378">
        <v>0</v>
      </c>
      <c r="P151" s="142"/>
      <c r="Q151" s="143">
        <f t="shared" si="109"/>
        <v>0</v>
      </c>
      <c r="R151" s="144" t="str">
        <f t="shared" si="110"/>
        <v>-</v>
      </c>
      <c r="S151" s="502"/>
      <c r="T151" s="378">
        <v>0</v>
      </c>
      <c r="U151" s="142"/>
      <c r="V151" s="143">
        <f t="shared" si="111"/>
        <v>0</v>
      </c>
      <c r="W151" s="144" t="str">
        <f t="shared" si="112"/>
        <v>-</v>
      </c>
      <c r="X151" s="502"/>
    </row>
    <row r="152" spans="1:26" ht="17.100000000000001" customHeight="1" x14ac:dyDescent="0.2">
      <c r="A152" s="301">
        <v>5240</v>
      </c>
      <c r="B152" s="76" t="s">
        <v>296</v>
      </c>
      <c r="C152" s="378"/>
      <c r="D152" s="378">
        <v>0</v>
      </c>
      <c r="E152" s="378"/>
      <c r="F152" s="142"/>
      <c r="G152" s="143">
        <f t="shared" si="98"/>
        <v>0</v>
      </c>
      <c r="H152" s="144" t="str">
        <f t="shared" si="99"/>
        <v>-</v>
      </c>
      <c r="I152" s="503"/>
      <c r="J152" s="378"/>
      <c r="K152" s="378"/>
      <c r="L152" s="143">
        <f t="shared" si="107"/>
        <v>0</v>
      </c>
      <c r="M152" s="144" t="str">
        <f t="shared" si="108"/>
        <v>-</v>
      </c>
      <c r="N152" s="503"/>
      <c r="O152" s="378">
        <v>0</v>
      </c>
      <c r="P152" s="142"/>
      <c r="Q152" s="143">
        <f t="shared" si="109"/>
        <v>0</v>
      </c>
      <c r="R152" s="144" t="str">
        <f t="shared" si="110"/>
        <v>-</v>
      </c>
      <c r="S152" s="503"/>
      <c r="T152" s="378">
        <v>0</v>
      </c>
      <c r="U152" s="142"/>
      <c r="V152" s="143">
        <f t="shared" si="111"/>
        <v>0</v>
      </c>
      <c r="W152" s="144" t="str">
        <f t="shared" si="112"/>
        <v>-</v>
      </c>
      <c r="X152" s="503"/>
    </row>
    <row r="153" spans="1:26" ht="17.100000000000001" customHeight="1" x14ac:dyDescent="0.2">
      <c r="A153" s="309" t="s">
        <v>77</v>
      </c>
      <c r="B153" s="310" t="s">
        <v>293</v>
      </c>
      <c r="C153" s="375">
        <v>48510.999999995809</v>
      </c>
      <c r="D153" s="375">
        <v>-53439.667502444179</v>
      </c>
      <c r="E153" s="375">
        <f t="shared" ref="E153" si="119">E145-E146</f>
        <v>-706218.84999999916</v>
      </c>
      <c r="F153" s="311"/>
      <c r="G153" s="312">
        <f t="shared" si="98"/>
        <v>706218.84999999916</v>
      </c>
      <c r="H153" s="428">
        <f t="shared" si="99"/>
        <v>1</v>
      </c>
      <c r="I153" s="314"/>
      <c r="J153" s="375">
        <f t="shared" ref="J153" si="120">J145-J146</f>
        <v>-1235367.3800000013</v>
      </c>
      <c r="K153" s="375"/>
      <c r="L153" s="312">
        <f t="shared" si="107"/>
        <v>1235367.3800000013</v>
      </c>
      <c r="M153" s="313">
        <f t="shared" si="108"/>
        <v>1</v>
      </c>
      <c r="N153" s="314"/>
      <c r="O153" s="375">
        <f t="shared" ref="O153:P153" si="121">O145-O146</f>
        <v>-74165.186999997473</v>
      </c>
      <c r="P153" s="311">
        <f t="shared" si="121"/>
        <v>0</v>
      </c>
      <c r="Q153" s="312">
        <f t="shared" si="109"/>
        <v>74165.186999997473</v>
      </c>
      <c r="R153" s="313">
        <f t="shared" si="110"/>
        <v>1</v>
      </c>
      <c r="S153" s="314"/>
      <c r="T153" s="375">
        <v>-53439.667502444179</v>
      </c>
      <c r="U153" s="311">
        <f t="shared" ref="U153" si="122">U145-U146</f>
        <v>0</v>
      </c>
      <c r="V153" s="312">
        <f t="shared" si="111"/>
        <v>53439.667502444179</v>
      </c>
      <c r="W153" s="313">
        <f t="shared" si="112"/>
        <v>1</v>
      </c>
      <c r="X153" s="314"/>
    </row>
    <row r="154" spans="1:26" ht="17.100000000000001" customHeight="1" x14ac:dyDescent="0.2">
      <c r="A154" s="191" t="s">
        <v>136</v>
      </c>
      <c r="B154" s="181" t="s">
        <v>78</v>
      </c>
      <c r="C154" s="377">
        <v>262165.40000000002</v>
      </c>
      <c r="D154" s="377">
        <v>155935.24</v>
      </c>
      <c r="E154" s="377">
        <f t="shared" ref="E154" si="123">SUM(E155:E162)</f>
        <v>53355.06</v>
      </c>
      <c r="F154" s="177"/>
      <c r="G154" s="178">
        <f t="shared" si="98"/>
        <v>-53355.06</v>
      </c>
      <c r="H154" s="429">
        <f t="shared" si="99"/>
        <v>-1</v>
      </c>
      <c r="I154" s="501"/>
      <c r="J154" s="377">
        <f t="shared" ref="J154" si="124">SUM(J155:J162)</f>
        <v>54028.369999999995</v>
      </c>
      <c r="K154" s="377"/>
      <c r="L154" s="178">
        <f t="shared" si="107"/>
        <v>-54028.369999999995</v>
      </c>
      <c r="M154" s="179">
        <f t="shared" si="108"/>
        <v>-1</v>
      </c>
      <c r="N154" s="501"/>
      <c r="O154" s="377">
        <f t="shared" ref="O154:P154" si="125">SUM(O155:O162)</f>
        <v>54029</v>
      </c>
      <c r="P154" s="177">
        <f t="shared" si="125"/>
        <v>0</v>
      </c>
      <c r="Q154" s="178">
        <f t="shared" si="109"/>
        <v>-54029</v>
      </c>
      <c r="R154" s="179">
        <f t="shared" si="110"/>
        <v>-1</v>
      </c>
      <c r="S154" s="501"/>
      <c r="T154" s="377">
        <v>155935.24</v>
      </c>
      <c r="U154" s="177">
        <f t="shared" ref="U154" si="126">SUM(U155:U162)</f>
        <v>0</v>
      </c>
      <c r="V154" s="178">
        <f t="shared" si="111"/>
        <v>-155935.24</v>
      </c>
      <c r="W154" s="179">
        <f t="shared" si="112"/>
        <v>-1</v>
      </c>
      <c r="X154" s="501"/>
    </row>
    <row r="155" spans="1:26" ht="17.100000000000001" customHeight="1" x14ac:dyDescent="0.2">
      <c r="A155" s="174" t="s">
        <v>137</v>
      </c>
      <c r="B155" s="76" t="s">
        <v>79</v>
      </c>
      <c r="C155" s="378"/>
      <c r="D155" s="378">
        <v>0.56999999999999995</v>
      </c>
      <c r="E155" s="378">
        <v>0.56999999999999995</v>
      </c>
      <c r="F155" s="142"/>
      <c r="G155" s="143">
        <f t="shared" si="98"/>
        <v>-0.56999999999999995</v>
      </c>
      <c r="H155" s="144">
        <f t="shared" si="99"/>
        <v>-1</v>
      </c>
      <c r="I155" s="502"/>
      <c r="J155" s="379">
        <v>1</v>
      </c>
      <c r="K155" s="378"/>
      <c r="L155" s="143">
        <f t="shared" si="107"/>
        <v>-1</v>
      </c>
      <c r="M155" s="144">
        <f t="shared" si="108"/>
        <v>-1</v>
      </c>
      <c r="N155" s="502"/>
      <c r="O155" s="378">
        <v>1</v>
      </c>
      <c r="P155" s="142"/>
      <c r="Q155" s="143">
        <f t="shared" si="109"/>
        <v>-1</v>
      </c>
      <c r="R155" s="144">
        <f t="shared" si="110"/>
        <v>-1</v>
      </c>
      <c r="S155" s="502"/>
      <c r="T155" s="378">
        <v>0.56999999999999995</v>
      </c>
      <c r="U155" s="142"/>
      <c r="V155" s="143">
        <f t="shared" si="111"/>
        <v>-0.56999999999999995</v>
      </c>
      <c r="W155" s="144">
        <f t="shared" si="112"/>
        <v>-1</v>
      </c>
      <c r="X155" s="502"/>
    </row>
    <row r="156" spans="1:26" ht="17.100000000000001" customHeight="1" x14ac:dyDescent="0.2">
      <c r="A156" s="174" t="s">
        <v>138</v>
      </c>
      <c r="B156" s="76" t="s">
        <v>80</v>
      </c>
      <c r="C156" s="378">
        <v>62.68</v>
      </c>
      <c r="D156" s="378">
        <v>54</v>
      </c>
      <c r="E156" s="378">
        <v>20.72</v>
      </c>
      <c r="F156" s="142"/>
      <c r="G156" s="143">
        <f t="shared" si="98"/>
        <v>-20.72</v>
      </c>
      <c r="H156" s="144">
        <f t="shared" si="99"/>
        <v>-1</v>
      </c>
      <c r="I156" s="502"/>
      <c r="J156" s="378">
        <v>35.75</v>
      </c>
      <c r="K156" s="378"/>
      <c r="L156" s="143">
        <f t="shared" si="107"/>
        <v>-35.75</v>
      </c>
      <c r="M156" s="144">
        <f t="shared" si="108"/>
        <v>-1</v>
      </c>
      <c r="N156" s="502"/>
      <c r="O156" s="379">
        <v>36</v>
      </c>
      <c r="P156" s="142"/>
      <c r="Q156" s="143">
        <f t="shared" si="109"/>
        <v>-36</v>
      </c>
      <c r="R156" s="144">
        <f t="shared" si="110"/>
        <v>-1</v>
      </c>
      <c r="S156" s="502"/>
      <c r="T156" s="378">
        <v>54</v>
      </c>
      <c r="U156" s="142"/>
      <c r="V156" s="143">
        <f t="shared" si="111"/>
        <v>-54</v>
      </c>
      <c r="W156" s="144">
        <f t="shared" si="112"/>
        <v>-1</v>
      </c>
      <c r="X156" s="502"/>
    </row>
    <row r="157" spans="1:26" ht="17.100000000000001" customHeight="1" x14ac:dyDescent="0.2">
      <c r="A157" s="174" t="s">
        <v>139</v>
      </c>
      <c r="B157" s="76" t="s">
        <v>294</v>
      </c>
      <c r="C157" s="378"/>
      <c r="D157" s="378">
        <v>0</v>
      </c>
      <c r="E157" s="378"/>
      <c r="F157" s="142"/>
      <c r="G157" s="143">
        <f t="shared" si="98"/>
        <v>0</v>
      </c>
      <c r="H157" s="144" t="str">
        <f t="shared" si="99"/>
        <v>-</v>
      </c>
      <c r="I157" s="502"/>
      <c r="J157" s="378"/>
      <c r="K157" s="378"/>
      <c r="L157" s="143">
        <f t="shared" si="107"/>
        <v>0</v>
      </c>
      <c r="M157" s="144" t="str">
        <f t="shared" si="108"/>
        <v>-</v>
      </c>
      <c r="N157" s="502"/>
      <c r="O157" s="378">
        <v>0</v>
      </c>
      <c r="P157" s="142"/>
      <c r="Q157" s="143">
        <f t="shared" si="109"/>
        <v>0</v>
      </c>
      <c r="R157" s="144" t="str">
        <f t="shared" si="110"/>
        <v>-</v>
      </c>
      <c r="S157" s="502"/>
      <c r="T157" s="378">
        <v>0</v>
      </c>
      <c r="U157" s="142"/>
      <c r="V157" s="143">
        <f t="shared" si="111"/>
        <v>0</v>
      </c>
      <c r="W157" s="144" t="str">
        <f t="shared" si="112"/>
        <v>-</v>
      </c>
      <c r="X157" s="502"/>
    </row>
    <row r="158" spans="1:26" ht="17.100000000000001" customHeight="1" x14ac:dyDescent="0.2">
      <c r="A158" s="174" t="s">
        <v>140</v>
      </c>
      <c r="B158" s="76" t="s">
        <v>81</v>
      </c>
      <c r="C158" s="378"/>
      <c r="D158" s="378">
        <v>0</v>
      </c>
      <c r="E158" s="378"/>
      <c r="F158" s="142"/>
      <c r="G158" s="143">
        <f t="shared" si="98"/>
        <v>0</v>
      </c>
      <c r="H158" s="144" t="str">
        <f t="shared" si="99"/>
        <v>-</v>
      </c>
      <c r="I158" s="502"/>
      <c r="J158" s="378"/>
      <c r="K158" s="378"/>
      <c r="L158" s="143">
        <f t="shared" si="107"/>
        <v>0</v>
      </c>
      <c r="M158" s="144" t="str">
        <f t="shared" si="108"/>
        <v>-</v>
      </c>
      <c r="N158" s="502"/>
      <c r="O158" s="378">
        <v>0</v>
      </c>
      <c r="P158" s="142"/>
      <c r="Q158" s="143">
        <f t="shared" si="109"/>
        <v>0</v>
      </c>
      <c r="R158" s="144" t="str">
        <f t="shared" si="110"/>
        <v>-</v>
      </c>
      <c r="S158" s="502"/>
      <c r="T158" s="378">
        <v>0</v>
      </c>
      <c r="U158" s="142"/>
      <c r="V158" s="143">
        <f t="shared" si="111"/>
        <v>0</v>
      </c>
      <c r="W158" s="144" t="str">
        <f t="shared" si="112"/>
        <v>-</v>
      </c>
      <c r="X158" s="502"/>
    </row>
    <row r="159" spans="1:26" ht="17.100000000000001" customHeight="1" x14ac:dyDescent="0.2">
      <c r="A159" s="174" t="s">
        <v>141</v>
      </c>
      <c r="B159" s="76" t="s">
        <v>82</v>
      </c>
      <c r="C159" s="378"/>
      <c r="D159" s="378">
        <v>0</v>
      </c>
      <c r="E159" s="378"/>
      <c r="F159" s="142"/>
      <c r="G159" s="143">
        <f t="shared" si="98"/>
        <v>0</v>
      </c>
      <c r="H159" s="144" t="str">
        <f t="shared" si="99"/>
        <v>-</v>
      </c>
      <c r="I159" s="502"/>
      <c r="J159" s="378"/>
      <c r="K159" s="378"/>
      <c r="L159" s="143">
        <f t="shared" si="107"/>
        <v>0</v>
      </c>
      <c r="M159" s="144" t="str">
        <f t="shared" si="108"/>
        <v>-</v>
      </c>
      <c r="N159" s="502"/>
      <c r="O159" s="378">
        <v>0</v>
      </c>
      <c r="P159" s="142"/>
      <c r="Q159" s="143">
        <f t="shared" si="109"/>
        <v>0</v>
      </c>
      <c r="R159" s="144" t="str">
        <f t="shared" si="110"/>
        <v>-</v>
      </c>
      <c r="S159" s="502"/>
      <c r="T159" s="378">
        <v>0</v>
      </c>
      <c r="U159" s="142"/>
      <c r="V159" s="143">
        <f t="shared" si="111"/>
        <v>0</v>
      </c>
      <c r="W159" s="144" t="str">
        <f t="shared" si="112"/>
        <v>-</v>
      </c>
      <c r="X159" s="502"/>
    </row>
    <row r="160" spans="1:26" ht="17.100000000000001" customHeight="1" x14ac:dyDescent="0.2">
      <c r="A160" s="174" t="s">
        <v>142</v>
      </c>
      <c r="B160" s="76" t="s">
        <v>83</v>
      </c>
      <c r="C160" s="378">
        <v>58839.95</v>
      </c>
      <c r="D160" s="378">
        <v>58840</v>
      </c>
      <c r="E160" s="378"/>
      <c r="F160" s="142"/>
      <c r="G160" s="143">
        <f t="shared" si="98"/>
        <v>0</v>
      </c>
      <c r="H160" s="144" t="str">
        <f t="shared" si="99"/>
        <v>-</v>
      </c>
      <c r="I160" s="502"/>
      <c r="J160" s="378"/>
      <c r="K160" s="378"/>
      <c r="L160" s="143">
        <f t="shared" si="107"/>
        <v>0</v>
      </c>
      <c r="M160" s="144" t="str">
        <f t="shared" si="108"/>
        <v>-</v>
      </c>
      <c r="N160" s="502"/>
      <c r="O160" s="378">
        <v>0</v>
      </c>
      <c r="P160" s="142"/>
      <c r="Q160" s="143">
        <f t="shared" si="109"/>
        <v>0</v>
      </c>
      <c r="R160" s="144" t="str">
        <f t="shared" si="110"/>
        <v>-</v>
      </c>
      <c r="S160" s="502"/>
      <c r="T160" s="378">
        <v>58840</v>
      </c>
      <c r="U160" s="142"/>
      <c r="V160" s="143">
        <f t="shared" si="111"/>
        <v>-58840</v>
      </c>
      <c r="W160" s="144">
        <f t="shared" si="112"/>
        <v>-1</v>
      </c>
      <c r="X160" s="502"/>
    </row>
    <row r="161" spans="1:24" ht="17.100000000000001" customHeight="1" x14ac:dyDescent="0.2">
      <c r="A161" s="174" t="s">
        <v>143</v>
      </c>
      <c r="B161" s="76" t="s">
        <v>119</v>
      </c>
      <c r="C161" s="378"/>
      <c r="D161" s="378">
        <v>0</v>
      </c>
      <c r="E161" s="378"/>
      <c r="F161" s="142"/>
      <c r="G161" s="143">
        <f t="shared" si="98"/>
        <v>0</v>
      </c>
      <c r="H161" s="144" t="str">
        <f t="shared" si="99"/>
        <v>-</v>
      </c>
      <c r="I161" s="503"/>
      <c r="J161" s="378"/>
      <c r="K161" s="378"/>
      <c r="L161" s="143">
        <f t="shared" si="107"/>
        <v>0</v>
      </c>
      <c r="M161" s="144" t="str">
        <f t="shared" si="108"/>
        <v>-</v>
      </c>
      <c r="N161" s="503"/>
      <c r="O161" s="378">
        <v>0</v>
      </c>
      <c r="P161" s="142"/>
      <c r="Q161" s="143">
        <f t="shared" si="109"/>
        <v>0</v>
      </c>
      <c r="R161" s="144" t="str">
        <f t="shared" si="110"/>
        <v>-</v>
      </c>
      <c r="S161" s="503"/>
      <c r="T161" s="378">
        <v>0</v>
      </c>
      <c r="U161" s="142"/>
      <c r="V161" s="143">
        <f t="shared" si="111"/>
        <v>0</v>
      </c>
      <c r="W161" s="144" t="str">
        <f t="shared" si="112"/>
        <v>-</v>
      </c>
      <c r="X161" s="503"/>
    </row>
    <row r="162" spans="1:24" ht="17.100000000000001" customHeight="1" x14ac:dyDescent="0.2">
      <c r="A162" s="174" t="s">
        <v>144</v>
      </c>
      <c r="B162" s="76" t="s">
        <v>84</v>
      </c>
      <c r="C162" s="378">
        <v>203262.77000000002</v>
      </c>
      <c r="D162" s="378">
        <v>87263.67</v>
      </c>
      <c r="E162" s="378">
        <f>67.17+53266.6</f>
        <v>53333.77</v>
      </c>
      <c r="F162" s="142"/>
      <c r="G162" s="143">
        <f t="shared" si="98"/>
        <v>-53333.77</v>
      </c>
      <c r="H162" s="144">
        <f t="shared" si="99"/>
        <v>-1</v>
      </c>
      <c r="I162" s="168"/>
      <c r="J162" s="378">
        <f>53266.6+0.01+651.25+3+67.17+3.59</f>
        <v>53991.619999999995</v>
      </c>
      <c r="K162" s="378"/>
      <c r="L162" s="143">
        <f t="shared" si="107"/>
        <v>-53991.619999999995</v>
      </c>
      <c r="M162" s="144">
        <f t="shared" si="108"/>
        <v>-1</v>
      </c>
      <c r="N162" s="168"/>
      <c r="O162" s="379">
        <v>53992</v>
      </c>
      <c r="P162" s="142"/>
      <c r="Q162" s="143">
        <f t="shared" si="109"/>
        <v>-53992</v>
      </c>
      <c r="R162" s="144">
        <f t="shared" si="110"/>
        <v>-1</v>
      </c>
      <c r="S162" s="168"/>
      <c r="T162" s="378">
        <f>97040.67-9777</f>
        <v>87263.67</v>
      </c>
      <c r="U162" s="142"/>
      <c r="V162" s="143">
        <f t="shared" si="111"/>
        <v>-87263.67</v>
      </c>
      <c r="W162" s="144">
        <f t="shared" si="112"/>
        <v>-1</v>
      </c>
      <c r="X162" s="168"/>
    </row>
    <row r="163" spans="1:24" ht="17.100000000000001" customHeight="1" x14ac:dyDescent="0.2">
      <c r="A163" s="309" t="s">
        <v>85</v>
      </c>
      <c r="B163" s="310" t="s">
        <v>86</v>
      </c>
      <c r="C163" s="375">
        <v>25262227.629999995</v>
      </c>
      <c r="D163" s="375">
        <v>26931711.683297556</v>
      </c>
      <c r="E163" s="375">
        <f>E3+E154</f>
        <v>6112718.6799999997</v>
      </c>
      <c r="F163" s="311"/>
      <c r="G163" s="312">
        <f t="shared" si="98"/>
        <v>-6112718.6799999997</v>
      </c>
      <c r="H163" s="313">
        <f t="shared" si="99"/>
        <v>-1</v>
      </c>
      <c r="I163" s="314"/>
      <c r="J163" s="375">
        <f>J3+J154</f>
        <v>12336528.549999997</v>
      </c>
      <c r="K163" s="375"/>
      <c r="L163" s="312">
        <f t="shared" si="107"/>
        <v>-12336528.549999997</v>
      </c>
      <c r="M163" s="313">
        <f t="shared" si="108"/>
        <v>-1</v>
      </c>
      <c r="N163" s="314"/>
      <c r="O163" s="375">
        <f>O3+O154</f>
        <v>19445961</v>
      </c>
      <c r="P163" s="311">
        <f>P3+P154</f>
        <v>0</v>
      </c>
      <c r="Q163" s="312">
        <f t="shared" si="109"/>
        <v>-19445961</v>
      </c>
      <c r="R163" s="313">
        <f t="shared" si="110"/>
        <v>-1</v>
      </c>
      <c r="S163" s="314"/>
      <c r="T163" s="375">
        <v>26931711.683297556</v>
      </c>
      <c r="U163" s="311">
        <f>U3+U154</f>
        <v>0</v>
      </c>
      <c r="V163" s="312">
        <f t="shared" si="111"/>
        <v>-26931711.683297556</v>
      </c>
      <c r="W163" s="313">
        <f t="shared" si="112"/>
        <v>-1</v>
      </c>
      <c r="X163" s="314"/>
    </row>
    <row r="164" spans="1:24" ht="17.100000000000001" customHeight="1" x14ac:dyDescent="0.2">
      <c r="A164" s="184">
        <v>8000</v>
      </c>
      <c r="B164" s="181" t="s">
        <v>87</v>
      </c>
      <c r="C164" s="377">
        <v>101586.45999999999</v>
      </c>
      <c r="D164" s="377">
        <v>112312.56</v>
      </c>
      <c r="E164" s="377">
        <f>SUM(E165:E171)</f>
        <v>8450.7200000000012</v>
      </c>
      <c r="F164" s="177"/>
      <c r="G164" s="178">
        <f t="shared" si="98"/>
        <v>-8450.7200000000012</v>
      </c>
      <c r="H164" s="179">
        <f t="shared" si="99"/>
        <v>-1</v>
      </c>
      <c r="I164" s="501"/>
      <c r="J164" s="377">
        <f>SUM(J165:J171)</f>
        <v>27647.17</v>
      </c>
      <c r="K164" s="377"/>
      <c r="L164" s="178">
        <f t="shared" si="107"/>
        <v>-27647.17</v>
      </c>
      <c r="M164" s="179">
        <f t="shared" si="108"/>
        <v>-1</v>
      </c>
      <c r="N164" s="501"/>
      <c r="O164" s="377">
        <f>SUM(O165:O171)</f>
        <v>27647</v>
      </c>
      <c r="P164" s="177">
        <f>SUM(P165:P171)</f>
        <v>0</v>
      </c>
      <c r="Q164" s="178">
        <f t="shared" si="109"/>
        <v>-27647</v>
      </c>
      <c r="R164" s="179">
        <f t="shared" si="110"/>
        <v>-1</v>
      </c>
      <c r="S164" s="501"/>
      <c r="T164" s="377">
        <v>112312.56</v>
      </c>
      <c r="U164" s="177">
        <f>SUM(U165:U171)</f>
        <v>0</v>
      </c>
      <c r="V164" s="178">
        <f t="shared" si="111"/>
        <v>-112312.56</v>
      </c>
      <c r="W164" s="179">
        <f t="shared" si="112"/>
        <v>-1</v>
      </c>
      <c r="X164" s="501"/>
    </row>
    <row r="165" spans="1:24" ht="17.100000000000001" customHeight="1" x14ac:dyDescent="0.2">
      <c r="A165" s="95">
        <v>8100</v>
      </c>
      <c r="B165" s="76" t="s">
        <v>145</v>
      </c>
      <c r="C165" s="378"/>
      <c r="D165" s="378">
        <v>0</v>
      </c>
      <c r="E165" s="378"/>
      <c r="F165" s="142"/>
      <c r="G165" s="143">
        <f t="shared" si="98"/>
        <v>0</v>
      </c>
      <c r="H165" s="144" t="str">
        <f t="shared" si="99"/>
        <v>-</v>
      </c>
      <c r="I165" s="502"/>
      <c r="J165" s="378"/>
      <c r="K165" s="378"/>
      <c r="L165" s="143">
        <f t="shared" si="107"/>
        <v>0</v>
      </c>
      <c r="M165" s="144" t="str">
        <f t="shared" si="108"/>
        <v>-</v>
      </c>
      <c r="N165" s="502"/>
      <c r="O165" s="378">
        <v>0</v>
      </c>
      <c r="P165" s="142"/>
      <c r="Q165" s="143">
        <f t="shared" si="109"/>
        <v>0</v>
      </c>
      <c r="R165" s="144" t="str">
        <f t="shared" si="110"/>
        <v>-</v>
      </c>
      <c r="S165" s="502"/>
      <c r="T165" s="378">
        <v>0</v>
      </c>
      <c r="U165" s="142"/>
      <c r="V165" s="143">
        <f t="shared" si="111"/>
        <v>0</v>
      </c>
      <c r="W165" s="144" t="str">
        <f t="shared" si="112"/>
        <v>-</v>
      </c>
      <c r="X165" s="502"/>
    </row>
    <row r="166" spans="1:24" ht="17.100000000000001" customHeight="1" x14ac:dyDescent="0.2">
      <c r="A166" s="95">
        <v>8200</v>
      </c>
      <c r="B166" s="76" t="s">
        <v>90</v>
      </c>
      <c r="C166" s="378"/>
      <c r="D166" s="378">
        <v>2.17</v>
      </c>
      <c r="E166" s="378">
        <v>2.17</v>
      </c>
      <c r="F166" s="142"/>
      <c r="G166" s="143">
        <f t="shared" si="98"/>
        <v>-2.17</v>
      </c>
      <c r="H166" s="144">
        <f t="shared" si="99"/>
        <v>-1</v>
      </c>
      <c r="I166" s="502"/>
      <c r="J166" s="378">
        <v>2.17</v>
      </c>
      <c r="K166" s="378"/>
      <c r="L166" s="143">
        <f t="shared" si="107"/>
        <v>-2.17</v>
      </c>
      <c r="M166" s="144">
        <f t="shared" si="108"/>
        <v>-1</v>
      </c>
      <c r="N166" s="502"/>
      <c r="O166" s="378">
        <v>2</v>
      </c>
      <c r="P166" s="142"/>
      <c r="Q166" s="143">
        <f t="shared" si="109"/>
        <v>-2</v>
      </c>
      <c r="R166" s="144">
        <f t="shared" si="110"/>
        <v>-1</v>
      </c>
      <c r="S166" s="502"/>
      <c r="T166" s="378">
        <v>2.17</v>
      </c>
      <c r="U166" s="142"/>
      <c r="V166" s="143">
        <f t="shared" si="111"/>
        <v>-2.17</v>
      </c>
      <c r="W166" s="144">
        <f t="shared" si="112"/>
        <v>-1</v>
      </c>
      <c r="X166" s="502"/>
    </row>
    <row r="167" spans="1:24" ht="17.100000000000001" customHeight="1" x14ac:dyDescent="0.2">
      <c r="A167" s="95">
        <v>8300</v>
      </c>
      <c r="B167" s="76" t="s">
        <v>89</v>
      </c>
      <c r="C167" s="378">
        <v>8935.4500000000007</v>
      </c>
      <c r="D167" s="378">
        <v>2466</v>
      </c>
      <c r="E167" s="378">
        <v>2466</v>
      </c>
      <c r="F167" s="142"/>
      <c r="G167" s="143">
        <f t="shared" si="98"/>
        <v>-2466</v>
      </c>
      <c r="H167" s="144">
        <f t="shared" si="99"/>
        <v>-1</v>
      </c>
      <c r="I167" s="502"/>
      <c r="J167" s="378">
        <v>2466</v>
      </c>
      <c r="K167" s="378"/>
      <c r="L167" s="143">
        <f t="shared" si="107"/>
        <v>-2466</v>
      </c>
      <c r="M167" s="144">
        <f t="shared" si="108"/>
        <v>-1</v>
      </c>
      <c r="N167" s="502"/>
      <c r="O167" s="379">
        <v>2466</v>
      </c>
      <c r="P167" s="142"/>
      <c r="Q167" s="143">
        <f t="shared" si="109"/>
        <v>-2466</v>
      </c>
      <c r="R167" s="144">
        <f t="shared" si="110"/>
        <v>-1</v>
      </c>
      <c r="S167" s="502"/>
      <c r="T167" s="379">
        <v>2466</v>
      </c>
      <c r="U167" s="142"/>
      <c r="V167" s="143">
        <f t="shared" si="111"/>
        <v>-2466</v>
      </c>
      <c r="W167" s="144">
        <f t="shared" si="112"/>
        <v>-1</v>
      </c>
      <c r="X167" s="502"/>
    </row>
    <row r="168" spans="1:24" ht="17.100000000000001" customHeight="1" x14ac:dyDescent="0.2">
      <c r="A168" s="95">
        <v>8600</v>
      </c>
      <c r="B168" s="76" t="s">
        <v>146</v>
      </c>
      <c r="C168" s="378">
        <v>22371.63</v>
      </c>
      <c r="D168" s="378">
        <v>25000</v>
      </c>
      <c r="E168" s="378"/>
      <c r="F168" s="142"/>
      <c r="G168" s="143">
        <f t="shared" si="98"/>
        <v>0</v>
      </c>
      <c r="H168" s="144" t="str">
        <f t="shared" si="99"/>
        <v>-</v>
      </c>
      <c r="I168" s="502"/>
      <c r="J168" s="378"/>
      <c r="K168" s="378"/>
      <c r="L168" s="143">
        <f t="shared" si="107"/>
        <v>0</v>
      </c>
      <c r="M168" s="144" t="str">
        <f t="shared" si="108"/>
        <v>-</v>
      </c>
      <c r="N168" s="502"/>
      <c r="O168" s="378">
        <v>0</v>
      </c>
      <c r="P168" s="142"/>
      <c r="Q168" s="143">
        <f t="shared" si="109"/>
        <v>0</v>
      </c>
      <c r="R168" s="144" t="str">
        <f t="shared" si="110"/>
        <v>-</v>
      </c>
      <c r="S168" s="502"/>
      <c r="T168" s="378">
        <v>25000</v>
      </c>
      <c r="U168" s="142"/>
      <c r="V168" s="143">
        <f t="shared" si="111"/>
        <v>-25000</v>
      </c>
      <c r="W168" s="144">
        <f t="shared" si="112"/>
        <v>-1</v>
      </c>
      <c r="X168" s="502"/>
    </row>
    <row r="169" spans="1:24" ht="17.100000000000001" customHeight="1" x14ac:dyDescent="0.2">
      <c r="A169" s="95">
        <v>8700</v>
      </c>
      <c r="B169" s="76" t="s">
        <v>295</v>
      </c>
      <c r="C169" s="378">
        <v>59664.56</v>
      </c>
      <c r="D169" s="378">
        <v>59665</v>
      </c>
      <c r="E169" s="378"/>
      <c r="F169" s="142"/>
      <c r="G169" s="143">
        <f t="shared" si="98"/>
        <v>0</v>
      </c>
      <c r="H169" s="144" t="str">
        <f t="shared" si="99"/>
        <v>-</v>
      </c>
      <c r="I169" s="502"/>
      <c r="J169" s="378"/>
      <c r="K169" s="378"/>
      <c r="L169" s="143">
        <f t="shared" si="107"/>
        <v>0</v>
      </c>
      <c r="M169" s="144" t="str">
        <f t="shared" si="108"/>
        <v>-</v>
      </c>
      <c r="N169" s="502"/>
      <c r="O169" s="378">
        <v>0</v>
      </c>
      <c r="P169" s="142"/>
      <c r="Q169" s="143">
        <f t="shared" si="109"/>
        <v>0</v>
      </c>
      <c r="R169" s="144" t="str">
        <f t="shared" si="110"/>
        <v>-</v>
      </c>
      <c r="S169" s="502"/>
      <c r="T169" s="378">
        <v>59665</v>
      </c>
      <c r="U169" s="142"/>
      <c r="V169" s="143">
        <f t="shared" si="111"/>
        <v>-59665</v>
      </c>
      <c r="W169" s="144">
        <f t="shared" si="112"/>
        <v>-1</v>
      </c>
      <c r="X169" s="502"/>
    </row>
    <row r="170" spans="1:24" ht="17.100000000000001" customHeight="1" x14ac:dyDescent="0.2">
      <c r="A170" s="95">
        <v>8800</v>
      </c>
      <c r="B170" s="175" t="s">
        <v>88</v>
      </c>
      <c r="C170" s="379">
        <v>10614.82</v>
      </c>
      <c r="D170" s="378">
        <v>25179.39</v>
      </c>
      <c r="E170" s="378">
        <f>1500+4482.55</f>
        <v>5982.55</v>
      </c>
      <c r="F170" s="142"/>
      <c r="G170" s="143">
        <f t="shared" si="98"/>
        <v>-5982.55</v>
      </c>
      <c r="H170" s="144">
        <f t="shared" si="99"/>
        <v>-1</v>
      </c>
      <c r="I170" s="502"/>
      <c r="J170" s="378">
        <v>25179</v>
      </c>
      <c r="K170" s="378"/>
      <c r="L170" s="143">
        <f t="shared" si="107"/>
        <v>-25179</v>
      </c>
      <c r="M170" s="144">
        <f t="shared" si="108"/>
        <v>-1</v>
      </c>
      <c r="N170" s="502"/>
      <c r="O170" s="379">
        <v>25179</v>
      </c>
      <c r="P170" s="142"/>
      <c r="Q170" s="143">
        <f t="shared" si="109"/>
        <v>-25179</v>
      </c>
      <c r="R170" s="144">
        <f t="shared" si="110"/>
        <v>-1</v>
      </c>
      <c r="S170" s="502"/>
      <c r="T170" s="379">
        <v>25179.39</v>
      </c>
      <c r="U170" s="142"/>
      <c r="V170" s="143">
        <f t="shared" si="111"/>
        <v>-25179.39</v>
      </c>
      <c r="W170" s="144">
        <f t="shared" si="112"/>
        <v>-1</v>
      </c>
      <c r="X170" s="502"/>
    </row>
    <row r="171" spans="1:24" ht="34.5" customHeight="1" x14ac:dyDescent="0.2">
      <c r="A171" s="34">
        <v>8900</v>
      </c>
      <c r="B171" s="176" t="s">
        <v>147</v>
      </c>
      <c r="C171" s="379"/>
      <c r="D171" s="378">
        <v>0</v>
      </c>
      <c r="E171" s="378"/>
      <c r="F171" s="142"/>
      <c r="G171" s="143">
        <f t="shared" si="98"/>
        <v>0</v>
      </c>
      <c r="H171" s="144" t="str">
        <f t="shared" si="99"/>
        <v>-</v>
      </c>
      <c r="I171" s="503"/>
      <c r="J171" s="378"/>
      <c r="K171" s="378"/>
      <c r="L171" s="143">
        <f t="shared" si="107"/>
        <v>0</v>
      </c>
      <c r="M171" s="144" t="str">
        <f t="shared" si="108"/>
        <v>-</v>
      </c>
      <c r="N171" s="503"/>
      <c r="O171" s="378">
        <v>0</v>
      </c>
      <c r="P171" s="142"/>
      <c r="Q171" s="143">
        <f t="shared" si="109"/>
        <v>0</v>
      </c>
      <c r="R171" s="144" t="str">
        <f t="shared" si="110"/>
        <v>-</v>
      </c>
      <c r="S171" s="503"/>
      <c r="T171" s="378">
        <v>0</v>
      </c>
      <c r="U171" s="142"/>
      <c r="V171" s="143">
        <f t="shared" si="111"/>
        <v>0</v>
      </c>
      <c r="W171" s="144" t="str">
        <f t="shared" si="112"/>
        <v>-</v>
      </c>
      <c r="X171" s="503"/>
    </row>
    <row r="172" spans="1:24" ht="17.100000000000001" customHeight="1" x14ac:dyDescent="0.2">
      <c r="A172" s="309" t="s">
        <v>91</v>
      </c>
      <c r="B172" s="310" t="s">
        <v>92</v>
      </c>
      <c r="C172" s="375">
        <v>25053137.690000001</v>
      </c>
      <c r="D172" s="375">
        <v>26941528.670800004</v>
      </c>
      <c r="E172" s="375">
        <f t="shared" ref="E172" si="127">E144+E146+E164</f>
        <v>6774033.1899999995</v>
      </c>
      <c r="F172" s="311"/>
      <c r="G172" s="312">
        <f t="shared" si="98"/>
        <v>-6774033.1899999995</v>
      </c>
      <c r="H172" s="313">
        <f t="shared" si="99"/>
        <v>-1</v>
      </c>
      <c r="I172" s="314"/>
      <c r="J172" s="375">
        <f t="shared" ref="J172" si="128">J144+J146+J164</f>
        <v>13545514.729999999</v>
      </c>
      <c r="K172" s="375"/>
      <c r="L172" s="312">
        <f t="shared" si="107"/>
        <v>-13545514.729999999</v>
      </c>
      <c r="M172" s="313">
        <f t="shared" si="108"/>
        <v>-1</v>
      </c>
      <c r="N172" s="314"/>
      <c r="O172" s="375">
        <f t="shared" ref="O172:P172" si="129">O144+O146+O164</f>
        <v>19493744.186999999</v>
      </c>
      <c r="P172" s="311">
        <f t="shared" si="129"/>
        <v>0</v>
      </c>
      <c r="Q172" s="312">
        <f t="shared" si="109"/>
        <v>-19493744.186999999</v>
      </c>
      <c r="R172" s="313">
        <f t="shared" si="110"/>
        <v>-1</v>
      </c>
      <c r="S172" s="314"/>
      <c r="T172" s="375">
        <v>26941528.670800004</v>
      </c>
      <c r="U172" s="311">
        <f t="shared" ref="U172" si="130">U144+U146+U164</f>
        <v>0</v>
      </c>
      <c r="V172" s="312">
        <f t="shared" si="111"/>
        <v>-26941528.670800004</v>
      </c>
      <c r="W172" s="313">
        <f t="shared" si="112"/>
        <v>-1</v>
      </c>
      <c r="X172" s="314"/>
    </row>
    <row r="173" spans="1:24" ht="17.100000000000001" customHeight="1" x14ac:dyDescent="0.2">
      <c r="A173" s="303" t="s">
        <v>562</v>
      </c>
      <c r="B173" s="304" t="s">
        <v>93</v>
      </c>
      <c r="C173" s="447">
        <v>209089.93999999584</v>
      </c>
      <c r="D173" s="448">
        <v>-9816.9875024441862</v>
      </c>
      <c r="E173" s="448">
        <f>E153+E154-E164</f>
        <v>-661314.50999999908</v>
      </c>
      <c r="F173" s="305"/>
      <c r="G173" s="306">
        <f t="shared" si="98"/>
        <v>661314.50999999908</v>
      </c>
      <c r="H173" s="307">
        <f t="shared" si="99"/>
        <v>1</v>
      </c>
      <c r="I173" s="308"/>
      <c r="J173" s="389">
        <f>J153+J154-J164</f>
        <v>-1208986.1800000011</v>
      </c>
      <c r="K173" s="389"/>
      <c r="L173" s="306">
        <f t="shared" si="107"/>
        <v>1208986.1800000011</v>
      </c>
      <c r="M173" s="307">
        <f t="shared" si="108"/>
        <v>1</v>
      </c>
      <c r="N173" s="308"/>
      <c r="O173" s="389">
        <f>O153+O154-O164</f>
        <v>-47783.186999997473</v>
      </c>
      <c r="P173" s="305">
        <f>P153+P154-P164</f>
        <v>0</v>
      </c>
      <c r="Q173" s="306">
        <f t="shared" si="109"/>
        <v>47783.186999997473</v>
      </c>
      <c r="R173" s="307">
        <f t="shared" si="110"/>
        <v>1</v>
      </c>
      <c r="S173" s="308"/>
      <c r="T173" s="389">
        <v>-9816.9875024441862</v>
      </c>
      <c r="U173" s="305">
        <f>U153+U154-U164</f>
        <v>0</v>
      </c>
      <c r="V173" s="306">
        <f t="shared" si="111"/>
        <v>9816.9875024441862</v>
      </c>
      <c r="W173" s="307">
        <f t="shared" si="112"/>
        <v>1</v>
      </c>
      <c r="X173" s="308"/>
    </row>
    <row r="175" spans="1:24" x14ac:dyDescent="0.2">
      <c r="A175" s="510" t="s">
        <v>442</v>
      </c>
      <c r="B175" s="510"/>
      <c r="C175" s="192"/>
      <c r="D175" s="193"/>
      <c r="E175" s="193"/>
      <c r="F175" s="193"/>
      <c r="G175" s="193"/>
      <c r="H175" s="193"/>
      <c r="I175" s="193"/>
    </row>
    <row r="176" spans="1:24" ht="38.450000000000003" customHeight="1" x14ac:dyDescent="0.2">
      <c r="A176" s="515" t="s">
        <v>529</v>
      </c>
      <c r="B176" s="515"/>
      <c r="C176" s="515"/>
      <c r="D176" s="515"/>
      <c r="E176" s="515"/>
      <c r="F176" s="186"/>
      <c r="G176" s="186"/>
      <c r="H176" s="186"/>
      <c r="I176" s="186"/>
      <c r="J176" s="1"/>
      <c r="K176" s="1"/>
      <c r="L176" s="1"/>
      <c r="M176" s="1"/>
      <c r="N176" s="1"/>
      <c r="O176" s="1"/>
      <c r="P176" s="1"/>
      <c r="Q176" s="1"/>
      <c r="R176" s="1"/>
      <c r="S176" s="1"/>
      <c r="T176" s="1"/>
      <c r="U176" s="1"/>
      <c r="V176" s="1"/>
      <c r="W176" s="1"/>
      <c r="X176" s="1"/>
    </row>
    <row r="177" spans="1:9" ht="36.6" customHeight="1" x14ac:dyDescent="0.2">
      <c r="A177" s="514" t="s">
        <v>528</v>
      </c>
      <c r="B177" s="514"/>
      <c r="C177" s="514"/>
      <c r="D177" s="514"/>
      <c r="E177" s="514"/>
      <c r="F177" s="193"/>
      <c r="G177" s="193"/>
      <c r="H177" s="193"/>
      <c r="I177" s="193"/>
    </row>
    <row r="178" spans="1:9" ht="45.6" customHeight="1" x14ac:dyDescent="0.2">
      <c r="A178" s="515" t="s">
        <v>534</v>
      </c>
      <c r="B178" s="515"/>
      <c r="C178" s="515"/>
      <c r="D178" s="515"/>
      <c r="E178" s="515"/>
      <c r="F178" s="193"/>
      <c r="G178" s="193"/>
      <c r="H178" s="193"/>
      <c r="I178" s="193"/>
    </row>
    <row r="179" spans="1:9" ht="20.45" customHeight="1" x14ac:dyDescent="0.2">
      <c r="A179" s="516" t="s">
        <v>444</v>
      </c>
      <c r="B179" s="516"/>
      <c r="C179" s="516"/>
      <c r="D179" s="516"/>
      <c r="E179" s="516"/>
      <c r="F179" s="193"/>
      <c r="G179" s="193"/>
      <c r="H179" s="193"/>
      <c r="I179" s="193"/>
    </row>
    <row r="180" spans="1:9" x14ac:dyDescent="0.2">
      <c r="A180" s="516" t="s">
        <v>445</v>
      </c>
      <c r="B180" s="516"/>
      <c r="C180" s="516"/>
      <c r="D180" s="516"/>
      <c r="E180" s="516"/>
      <c r="F180" s="193"/>
      <c r="G180" s="193"/>
      <c r="H180" s="193"/>
      <c r="I180" s="193"/>
    </row>
  </sheetData>
  <sheetProtection formatColumns="0" formatRows="0"/>
  <mergeCells count="94">
    <mergeCell ref="A177:E177"/>
    <mergeCell ref="A178:E178"/>
    <mergeCell ref="A179:E179"/>
    <mergeCell ref="A180:E180"/>
    <mergeCell ref="A176:E176"/>
    <mergeCell ref="A175:B175"/>
    <mergeCell ref="I148:I152"/>
    <mergeCell ref="I154:I161"/>
    <mergeCell ref="I35:I38"/>
    <mergeCell ref="I5:I9"/>
    <mergeCell ref="I10:I12"/>
    <mergeCell ref="I13:I15"/>
    <mergeCell ref="I16:I18"/>
    <mergeCell ref="I19:I21"/>
    <mergeCell ref="I22:I26"/>
    <mergeCell ref="I39:I47"/>
    <mergeCell ref="I52:I57"/>
    <mergeCell ref="I68:I73"/>
    <mergeCell ref="I74:I81"/>
    <mergeCell ref="I82:I88"/>
    <mergeCell ref="I90:I95"/>
    <mergeCell ref="I96:I101"/>
    <mergeCell ref="I104:I108"/>
    <mergeCell ref="I109:I112"/>
    <mergeCell ref="I164:I171"/>
    <mergeCell ref="S19:S21"/>
    <mergeCell ref="S22:S26"/>
    <mergeCell ref="S35:S38"/>
    <mergeCell ref="S39:S47"/>
    <mergeCell ref="S52:S57"/>
    <mergeCell ref="I119:I125"/>
    <mergeCell ref="I130:I137"/>
    <mergeCell ref="I114:I117"/>
    <mergeCell ref="N22:N26"/>
    <mergeCell ref="N35:N38"/>
    <mergeCell ref="N39:N47"/>
    <mergeCell ref="N52:N57"/>
    <mergeCell ref="N104:N108"/>
    <mergeCell ref="N109:N112"/>
    <mergeCell ref="N90:N95"/>
    <mergeCell ref="S90:S95"/>
    <mergeCell ref="S96:S101"/>
    <mergeCell ref="S104:S108"/>
    <mergeCell ref="S109:S112"/>
    <mergeCell ref="S68:S73"/>
    <mergeCell ref="S74:S81"/>
    <mergeCell ref="N68:N73"/>
    <mergeCell ref="N74:N81"/>
    <mergeCell ref="S5:S9"/>
    <mergeCell ref="S10:S12"/>
    <mergeCell ref="S13:S15"/>
    <mergeCell ref="S16:S18"/>
    <mergeCell ref="N5:N9"/>
    <mergeCell ref="N10:N12"/>
    <mergeCell ref="N13:N15"/>
    <mergeCell ref="N16:N18"/>
    <mergeCell ref="N19:N21"/>
    <mergeCell ref="N154:N161"/>
    <mergeCell ref="N164:N171"/>
    <mergeCell ref="N148:N152"/>
    <mergeCell ref="X82:X88"/>
    <mergeCell ref="X90:X95"/>
    <mergeCell ref="X96:X101"/>
    <mergeCell ref="X104:X108"/>
    <mergeCell ref="X109:X112"/>
    <mergeCell ref="S148:S152"/>
    <mergeCell ref="S154:S161"/>
    <mergeCell ref="S164:S171"/>
    <mergeCell ref="X154:X161"/>
    <mergeCell ref="X164:X171"/>
    <mergeCell ref="S82:S88"/>
    <mergeCell ref="N130:N137"/>
    <mergeCell ref="N96:N101"/>
    <mergeCell ref="N114:N117"/>
    <mergeCell ref="N119:N125"/>
    <mergeCell ref="N82:N88"/>
    <mergeCell ref="X5:X9"/>
    <mergeCell ref="X10:X12"/>
    <mergeCell ref="X13:X15"/>
    <mergeCell ref="X16:X18"/>
    <mergeCell ref="X19:X21"/>
    <mergeCell ref="X22:X26"/>
    <mergeCell ref="X35:X38"/>
    <mergeCell ref="X39:X47"/>
    <mergeCell ref="X52:X57"/>
    <mergeCell ref="X68:X73"/>
    <mergeCell ref="X74:X81"/>
    <mergeCell ref="S119:S125"/>
    <mergeCell ref="S114:S117"/>
    <mergeCell ref="S130:S137"/>
    <mergeCell ref="X148:X152"/>
    <mergeCell ref="X114:X117"/>
    <mergeCell ref="X119:X125"/>
    <mergeCell ref="X130:X137"/>
  </mergeCells>
  <phoneticPr fontId="50" type="noConversion"/>
  <pageMargins left="0.25" right="0.25" top="0.75" bottom="0.75" header="0.3" footer="0.3"/>
  <pageSetup paperSize="9" scale="12" fitToHeight="0" orientation="portrait" r:id="rId1"/>
  <headerFooter>
    <oddHeader>&amp;C&amp;"Times New Roman,Bold"&amp;14Budžeta&amp;"Times New Roman,Regular" &amp;"Times New Roman,Bold"tāme&amp;R&amp;"Times New Roman,Regular"&amp;14 1.pielikums</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X34"/>
  <sheetViews>
    <sheetView view="pageBreakPreview" zoomScale="85" zoomScaleNormal="85" zoomScaleSheetLayoutView="85" zoomScalePageLayoutView="70" workbookViewId="0">
      <pane ySplit="1" topLeftCell="A2" activePane="bottomLeft" state="frozen"/>
      <selection pane="bottomLeft" activeCell="A25" sqref="A25:E25"/>
    </sheetView>
  </sheetViews>
  <sheetFormatPr defaultColWidth="9.140625" defaultRowHeight="18" outlineLevelCol="1" x14ac:dyDescent="0.2"/>
  <cols>
    <col min="1" max="1" width="9.28515625" style="6" bestFit="1" customWidth="1"/>
    <col min="2" max="2" width="66.85546875" style="6" customWidth="1"/>
    <col min="3" max="5" width="16.5703125" style="6" customWidth="1"/>
    <col min="6" max="8" width="16.5703125" style="6" customWidth="1" outlineLevel="1"/>
    <col min="9" max="9" width="38.42578125" style="437" customWidth="1" outlineLevel="1"/>
    <col min="10" max="10" width="18.5703125" style="6" customWidth="1"/>
    <col min="11" max="13" width="16.5703125" style="6" customWidth="1" outlineLevel="1"/>
    <col min="14" max="14" width="38.42578125" style="6" customWidth="1" outlineLevel="1"/>
    <col min="15" max="15" width="19.7109375" style="6" customWidth="1"/>
    <col min="16" max="18" width="16.5703125" style="6" customWidth="1" outlineLevel="1"/>
    <col min="19" max="19" width="38.42578125" style="6" customWidth="1" outlineLevel="1"/>
    <col min="20" max="20" width="16.5703125" style="6" customWidth="1"/>
    <col min="21" max="23" width="16.5703125" style="6" customWidth="1" outlineLevel="1"/>
    <col min="24" max="24" width="38.42578125" style="6" customWidth="1" outlineLevel="1"/>
    <col min="25" max="30" width="9.140625" style="6" customWidth="1"/>
    <col min="31" max="16384" width="9.140625" style="6"/>
  </cols>
  <sheetData>
    <row r="1" spans="1:24" ht="78.75" x14ac:dyDescent="0.2">
      <c r="A1" s="390" t="s">
        <v>359</v>
      </c>
      <c r="B1" s="390" t="s">
        <v>511</v>
      </c>
      <c r="C1" s="391" t="s">
        <v>568</v>
      </c>
      <c r="D1" s="391" t="s">
        <v>569</v>
      </c>
      <c r="E1" s="391" t="s">
        <v>570</v>
      </c>
      <c r="F1" s="391" t="s">
        <v>575</v>
      </c>
      <c r="G1" s="392" t="s">
        <v>573</v>
      </c>
      <c r="H1" s="393" t="s">
        <v>574</v>
      </c>
      <c r="I1" s="391" t="s">
        <v>510</v>
      </c>
      <c r="J1" s="391" t="s">
        <v>571</v>
      </c>
      <c r="K1" s="391" t="s">
        <v>430</v>
      </c>
      <c r="L1" s="392" t="s">
        <v>404</v>
      </c>
      <c r="M1" s="393" t="s">
        <v>405</v>
      </c>
      <c r="N1" s="391" t="s">
        <v>510</v>
      </c>
      <c r="O1" s="391" t="s">
        <v>576</v>
      </c>
      <c r="P1" s="391" t="s">
        <v>431</v>
      </c>
      <c r="Q1" s="452" t="s">
        <v>404</v>
      </c>
      <c r="R1" s="453" t="s">
        <v>405</v>
      </c>
      <c r="S1" s="391" t="s">
        <v>510</v>
      </c>
      <c r="T1" s="391" t="s">
        <v>578</v>
      </c>
      <c r="U1" s="391" t="s">
        <v>432</v>
      </c>
      <c r="V1" s="392" t="s">
        <v>404</v>
      </c>
      <c r="W1" s="393" t="s">
        <v>405</v>
      </c>
      <c r="X1" s="391" t="s">
        <v>510</v>
      </c>
    </row>
    <row r="2" spans="1:24" x14ac:dyDescent="0.2">
      <c r="A2" s="390">
        <v>1</v>
      </c>
      <c r="B2" s="390">
        <v>2</v>
      </c>
      <c r="C2" s="391">
        <v>3</v>
      </c>
      <c r="D2" s="391">
        <v>4</v>
      </c>
      <c r="E2" s="391">
        <v>5</v>
      </c>
      <c r="F2" s="391">
        <v>6</v>
      </c>
      <c r="G2" s="392">
        <v>7</v>
      </c>
      <c r="H2" s="394">
        <v>8</v>
      </c>
      <c r="I2" s="391"/>
      <c r="J2" s="391">
        <v>10</v>
      </c>
      <c r="K2" s="391">
        <v>11</v>
      </c>
      <c r="L2" s="392">
        <v>12</v>
      </c>
      <c r="M2" s="394">
        <v>13</v>
      </c>
      <c r="N2" s="391">
        <v>14</v>
      </c>
      <c r="O2" s="391">
        <v>15</v>
      </c>
      <c r="P2" s="391">
        <v>16</v>
      </c>
      <c r="Q2" s="452">
        <v>17</v>
      </c>
      <c r="R2" s="454">
        <v>18</v>
      </c>
      <c r="S2" s="391">
        <v>19</v>
      </c>
      <c r="T2" s="391">
        <v>20</v>
      </c>
      <c r="U2" s="391">
        <v>21</v>
      </c>
      <c r="V2" s="392">
        <v>22</v>
      </c>
      <c r="W2" s="394">
        <v>23</v>
      </c>
      <c r="X2" s="391">
        <v>24</v>
      </c>
    </row>
    <row r="3" spans="1:24" x14ac:dyDescent="0.2">
      <c r="A3" s="390">
        <v>1</v>
      </c>
      <c r="B3" s="395" t="s">
        <v>350</v>
      </c>
      <c r="C3" s="396">
        <v>24602128</v>
      </c>
      <c r="D3" s="397">
        <v>26183010</v>
      </c>
      <c r="E3" s="398">
        <v>5902637</v>
      </c>
      <c r="F3" s="397"/>
      <c r="G3" s="399">
        <f>F3-E3</f>
        <v>-5902637</v>
      </c>
      <c r="H3" s="400">
        <f t="shared" ref="H3:H20" si="0">IFERROR(G3/ABS(E3), "-")</f>
        <v>-1</v>
      </c>
      <c r="I3" s="455"/>
      <c r="J3" s="398">
        <v>11994143</v>
      </c>
      <c r="K3" s="397"/>
      <c r="L3" s="399">
        <f>K3-J3</f>
        <v>-11994143</v>
      </c>
      <c r="M3" s="400">
        <f>IFERROR(L3/ABS(J3), "-")</f>
        <v>-1</v>
      </c>
      <c r="N3" s="397"/>
      <c r="O3" s="398">
        <v>18905400</v>
      </c>
      <c r="P3" s="396"/>
      <c r="Q3" s="401">
        <f>P3-O3</f>
        <v>-18905400</v>
      </c>
      <c r="R3" s="402">
        <f>IFERROR(Q3/ABS(O3), "-")</f>
        <v>-1</v>
      </c>
      <c r="S3" s="403"/>
      <c r="T3" s="396">
        <v>26183010</v>
      </c>
      <c r="U3" s="396"/>
      <c r="V3" s="401">
        <f>U3-T3</f>
        <v>-26183010</v>
      </c>
      <c r="W3" s="402">
        <f>IFERROR(V3/ABS(T3), "-")</f>
        <v>-1</v>
      </c>
      <c r="X3" s="403"/>
    </row>
    <row r="4" spans="1:24" ht="31.5" x14ac:dyDescent="0.2">
      <c r="A4" s="390">
        <v>2</v>
      </c>
      <c r="B4" s="395" t="s">
        <v>413</v>
      </c>
      <c r="C4" s="396">
        <v>23071071</v>
      </c>
      <c r="D4" s="398">
        <v>25209200</v>
      </c>
      <c r="E4" s="398">
        <v>6368508</v>
      </c>
      <c r="F4" s="397"/>
      <c r="G4" s="399">
        <f t="shared" ref="G4:G19" si="1">F4-E4</f>
        <v>-6368508</v>
      </c>
      <c r="H4" s="400">
        <f t="shared" si="0"/>
        <v>-1</v>
      </c>
      <c r="I4" s="455"/>
      <c r="J4" s="398">
        <f>12673091+33455-34548</f>
        <v>12671998</v>
      </c>
      <c r="K4" s="397"/>
      <c r="L4" s="399">
        <f t="shared" ref="L4:L9" si="2">K4-J4</f>
        <v>-12671998</v>
      </c>
      <c r="M4" s="400">
        <f t="shared" ref="M4:M9" si="3">IFERROR(L4/ABS(J4), "-")</f>
        <v>-1</v>
      </c>
      <c r="N4" s="397"/>
      <c r="O4" s="398">
        <v>18240300</v>
      </c>
      <c r="P4" s="396"/>
      <c r="Q4" s="401">
        <f t="shared" ref="Q4:Q9" si="4">P4-O4</f>
        <v>-18240300</v>
      </c>
      <c r="R4" s="402">
        <f t="shared" ref="R4:R9" si="5">IFERROR(Q4/ABS(O4), "-")</f>
        <v>-1</v>
      </c>
      <c r="S4" s="403"/>
      <c r="T4" s="396">
        <v>25209200</v>
      </c>
      <c r="U4" s="396"/>
      <c r="V4" s="401">
        <f t="shared" ref="V4:V9" si="6">U4-T4</f>
        <v>-25209200</v>
      </c>
      <c r="W4" s="402">
        <f t="shared" ref="W4:W9" si="7">IFERROR(V4/ABS(T4), "-")</f>
        <v>-1</v>
      </c>
      <c r="X4" s="403"/>
    </row>
    <row r="5" spans="1:24" x14ac:dyDescent="0.2">
      <c r="A5" s="404">
        <v>3</v>
      </c>
      <c r="B5" s="405" t="s">
        <v>351</v>
      </c>
      <c r="C5" s="406">
        <f>C3-C4</f>
        <v>1531057</v>
      </c>
      <c r="D5" s="406">
        <f t="shared" ref="D5:E5" si="8">D3-D4</f>
        <v>973810</v>
      </c>
      <c r="E5" s="456">
        <f t="shared" si="8"/>
        <v>-465871</v>
      </c>
      <c r="F5" s="406">
        <f>F3-F4</f>
        <v>0</v>
      </c>
      <c r="G5" s="407">
        <f t="shared" si="1"/>
        <v>465871</v>
      </c>
      <c r="H5" s="408">
        <f t="shared" si="0"/>
        <v>1</v>
      </c>
      <c r="I5" s="431"/>
      <c r="J5" s="456">
        <f t="shared" ref="J5" si="9">J3-J4</f>
        <v>-677855</v>
      </c>
      <c r="K5" s="406">
        <f>K3-K4</f>
        <v>0</v>
      </c>
      <c r="L5" s="407">
        <f t="shared" si="2"/>
        <v>677855</v>
      </c>
      <c r="M5" s="408">
        <f t="shared" si="3"/>
        <v>1</v>
      </c>
      <c r="N5" s="409"/>
      <c r="O5" s="456">
        <f>O3-O4</f>
        <v>665100</v>
      </c>
      <c r="P5" s="456">
        <f>P3-P4</f>
        <v>0</v>
      </c>
      <c r="Q5" s="457">
        <f t="shared" si="4"/>
        <v>-665100</v>
      </c>
      <c r="R5" s="458">
        <f t="shared" si="5"/>
        <v>-1</v>
      </c>
      <c r="S5" s="459"/>
      <c r="T5" s="456">
        <f>T3-T4</f>
        <v>973810</v>
      </c>
      <c r="U5" s="406">
        <f>U3-U4</f>
        <v>0</v>
      </c>
      <c r="V5" s="407">
        <f t="shared" si="6"/>
        <v>-973810</v>
      </c>
      <c r="W5" s="408">
        <f t="shared" si="7"/>
        <v>-1</v>
      </c>
      <c r="X5" s="409"/>
    </row>
    <row r="6" spans="1:24" x14ac:dyDescent="0.2">
      <c r="A6" s="390">
        <v>4</v>
      </c>
      <c r="B6" s="395" t="s">
        <v>352</v>
      </c>
      <c r="C6" s="396"/>
      <c r="D6" s="396"/>
      <c r="E6" s="396"/>
      <c r="F6" s="396"/>
      <c r="G6" s="401">
        <f t="shared" si="1"/>
        <v>0</v>
      </c>
      <c r="H6" s="402" t="str">
        <f t="shared" si="0"/>
        <v>-</v>
      </c>
      <c r="I6" s="432"/>
      <c r="J6" s="396"/>
      <c r="K6" s="396"/>
      <c r="L6" s="401">
        <f t="shared" si="2"/>
        <v>0</v>
      </c>
      <c r="M6" s="402" t="str">
        <f t="shared" si="3"/>
        <v>-</v>
      </c>
      <c r="N6" s="403"/>
      <c r="O6" s="396"/>
      <c r="P6" s="396"/>
      <c r="Q6" s="401">
        <f t="shared" si="4"/>
        <v>0</v>
      </c>
      <c r="R6" s="402" t="str">
        <f t="shared" si="5"/>
        <v>-</v>
      </c>
      <c r="S6" s="403"/>
      <c r="T6" s="396"/>
      <c r="U6" s="396"/>
      <c r="V6" s="401">
        <f t="shared" si="6"/>
        <v>0</v>
      </c>
      <c r="W6" s="402" t="str">
        <f t="shared" si="7"/>
        <v>-</v>
      </c>
      <c r="X6" s="403"/>
    </row>
    <row r="7" spans="1:24" x14ac:dyDescent="0.2">
      <c r="A7" s="390">
        <v>5</v>
      </c>
      <c r="B7" s="395" t="s">
        <v>353</v>
      </c>
      <c r="C7" s="396">
        <v>1094473</v>
      </c>
      <c r="D7" s="396">
        <v>1069567</v>
      </c>
      <c r="E7" s="396">
        <v>260065</v>
      </c>
      <c r="F7" s="396"/>
      <c r="G7" s="401">
        <f t="shared" si="1"/>
        <v>-260065</v>
      </c>
      <c r="H7" s="402">
        <f t="shared" si="0"/>
        <v>-1</v>
      </c>
      <c r="I7" s="432"/>
      <c r="J7" s="396">
        <v>538861</v>
      </c>
      <c r="K7" s="396"/>
      <c r="L7" s="401">
        <f t="shared" si="2"/>
        <v>-538861</v>
      </c>
      <c r="M7" s="402">
        <f t="shared" si="3"/>
        <v>-1</v>
      </c>
      <c r="N7" s="403"/>
      <c r="O7" s="396">
        <v>773900</v>
      </c>
      <c r="P7" s="396"/>
      <c r="Q7" s="401">
        <f t="shared" si="4"/>
        <v>-773900</v>
      </c>
      <c r="R7" s="402">
        <f t="shared" si="5"/>
        <v>-1</v>
      </c>
      <c r="S7" s="403"/>
      <c r="T7" s="396">
        <v>1069567</v>
      </c>
      <c r="U7" s="396"/>
      <c r="V7" s="401">
        <f t="shared" si="6"/>
        <v>-1069567</v>
      </c>
      <c r="W7" s="402">
        <f t="shared" si="7"/>
        <v>-1</v>
      </c>
      <c r="X7" s="403"/>
    </row>
    <row r="8" spans="1:24" x14ac:dyDescent="0.2">
      <c r="A8" s="390">
        <v>6</v>
      </c>
      <c r="B8" s="395" t="s">
        <v>354</v>
      </c>
      <c r="C8" s="396">
        <v>660037</v>
      </c>
      <c r="D8" s="396">
        <v>748652</v>
      </c>
      <c r="E8" s="396">
        <f>210060</f>
        <v>210060</v>
      </c>
      <c r="F8" s="396"/>
      <c r="G8" s="401">
        <f t="shared" si="1"/>
        <v>-210060</v>
      </c>
      <c r="H8" s="402">
        <f t="shared" si="0"/>
        <v>-1</v>
      </c>
      <c r="I8" s="432"/>
      <c r="J8" s="396">
        <f>342345+2</f>
        <v>342347</v>
      </c>
      <c r="K8" s="396"/>
      <c r="L8" s="401">
        <f t="shared" si="2"/>
        <v>-342347</v>
      </c>
      <c r="M8" s="402">
        <f t="shared" si="3"/>
        <v>-1</v>
      </c>
      <c r="N8" s="403"/>
      <c r="O8" s="396">
        <v>540522</v>
      </c>
      <c r="P8" s="396"/>
      <c r="Q8" s="401">
        <f t="shared" si="4"/>
        <v>-540522</v>
      </c>
      <c r="R8" s="402">
        <f t="shared" si="5"/>
        <v>-1</v>
      </c>
      <c r="S8" s="403"/>
      <c r="T8" s="396">
        <v>748652</v>
      </c>
      <c r="U8" s="396"/>
      <c r="V8" s="401">
        <f t="shared" si="6"/>
        <v>-748652</v>
      </c>
      <c r="W8" s="402">
        <f t="shared" si="7"/>
        <v>-1</v>
      </c>
      <c r="X8" s="403"/>
    </row>
    <row r="9" spans="1:24" x14ac:dyDescent="0.2">
      <c r="A9" s="390">
        <v>7</v>
      </c>
      <c r="B9" s="395" t="s">
        <v>355</v>
      </c>
      <c r="C9" s="396">
        <v>887594</v>
      </c>
      <c r="D9" s="396">
        <v>662762</v>
      </c>
      <c r="E9" s="396">
        <f>150597-5137</f>
        <v>145460</v>
      </c>
      <c r="F9" s="396"/>
      <c r="G9" s="401">
        <f t="shared" si="1"/>
        <v>-145460</v>
      </c>
      <c r="H9" s="402">
        <f t="shared" si="0"/>
        <v>-1</v>
      </c>
      <c r="I9" s="432"/>
      <c r="J9" s="396">
        <f>334641+15</f>
        <v>334656</v>
      </c>
      <c r="K9" s="396"/>
      <c r="L9" s="401">
        <f t="shared" si="2"/>
        <v>-334656</v>
      </c>
      <c r="M9" s="402">
        <f t="shared" si="3"/>
        <v>-1</v>
      </c>
      <c r="N9" s="403"/>
      <c r="O9" s="396">
        <v>479544</v>
      </c>
      <c r="P9" s="396"/>
      <c r="Q9" s="401">
        <f t="shared" si="4"/>
        <v>-479544</v>
      </c>
      <c r="R9" s="402">
        <f t="shared" si="5"/>
        <v>-1</v>
      </c>
      <c r="S9" s="403"/>
      <c r="T9" s="396">
        <v>662762</v>
      </c>
      <c r="U9" s="396"/>
      <c r="V9" s="401">
        <f t="shared" si="6"/>
        <v>-662762</v>
      </c>
      <c r="W9" s="402">
        <f t="shared" si="7"/>
        <v>-1</v>
      </c>
      <c r="X9" s="403"/>
    </row>
    <row r="10" spans="1:24" x14ac:dyDescent="0.2">
      <c r="A10" s="390">
        <v>8</v>
      </c>
      <c r="B10" s="395" t="s">
        <v>433</v>
      </c>
      <c r="C10" s="396"/>
      <c r="D10" s="396"/>
      <c r="E10" s="396"/>
      <c r="F10" s="396"/>
      <c r="G10" s="401">
        <f>F10-E10</f>
        <v>0</v>
      </c>
      <c r="H10" s="402" t="str">
        <f>IFERROR(G10/ABS(E10), "-")</f>
        <v>-</v>
      </c>
      <c r="I10" s="432"/>
      <c r="J10" s="396"/>
      <c r="K10" s="396"/>
      <c r="L10" s="401">
        <f>K10-J10</f>
        <v>0</v>
      </c>
      <c r="M10" s="402" t="str">
        <f>IFERROR(L10/ABS(J10), "-")</f>
        <v>-</v>
      </c>
      <c r="N10" s="403"/>
      <c r="O10" s="396"/>
      <c r="P10" s="396"/>
      <c r="Q10" s="401">
        <f>P10-O10</f>
        <v>0</v>
      </c>
      <c r="R10" s="402" t="str">
        <f>IFERROR(Q10/ABS(O10), "-")</f>
        <v>-</v>
      </c>
      <c r="S10" s="403"/>
      <c r="T10" s="396"/>
      <c r="U10" s="396"/>
      <c r="V10" s="401">
        <f>U10-T10</f>
        <v>0</v>
      </c>
      <c r="W10" s="402" t="str">
        <f>IFERROR(V10/ABS(T10), "-")</f>
        <v>-</v>
      </c>
      <c r="X10" s="403"/>
    </row>
    <row r="11" spans="1:24" ht="31.5" x14ac:dyDescent="0.2">
      <c r="A11" s="390">
        <v>9</v>
      </c>
      <c r="B11" s="395" t="s">
        <v>356</v>
      </c>
      <c r="C11" s="396"/>
      <c r="D11" s="396"/>
      <c r="E11" s="396"/>
      <c r="F11" s="396"/>
      <c r="G11" s="401">
        <f t="shared" si="1"/>
        <v>0</v>
      </c>
      <c r="H11" s="402" t="str">
        <f t="shared" si="0"/>
        <v>-</v>
      </c>
      <c r="I11" s="432"/>
      <c r="J11" s="396"/>
      <c r="K11" s="396"/>
      <c r="L11" s="401">
        <f t="shared" ref="L11:L19" si="10">K11-J11</f>
        <v>0</v>
      </c>
      <c r="M11" s="402" t="str">
        <f t="shared" ref="M11:M20" si="11">IFERROR(L11/ABS(J11), "-")</f>
        <v>-</v>
      </c>
      <c r="N11" s="403"/>
      <c r="O11" s="396"/>
      <c r="P11" s="396"/>
      <c r="Q11" s="401">
        <f t="shared" ref="Q11:Q19" si="12">P11-O11</f>
        <v>0</v>
      </c>
      <c r="R11" s="402" t="str">
        <f t="shared" ref="R11:R20" si="13">IFERROR(Q11/ABS(O11), "-")</f>
        <v>-</v>
      </c>
      <c r="S11" s="403"/>
      <c r="T11" s="396"/>
      <c r="U11" s="396"/>
      <c r="V11" s="401">
        <f t="shared" ref="V11:V20" si="14">U11-T11</f>
        <v>0</v>
      </c>
      <c r="W11" s="402" t="str">
        <f t="shared" ref="W11:W19" si="15">IFERROR(V11/ABS(T11), "-")</f>
        <v>-</v>
      </c>
      <c r="X11" s="403"/>
    </row>
    <row r="12" spans="1:24" x14ac:dyDescent="0.2">
      <c r="A12" s="390">
        <v>10</v>
      </c>
      <c r="B12" s="395" t="s">
        <v>357</v>
      </c>
      <c r="C12" s="396">
        <v>63</v>
      </c>
      <c r="D12" s="396">
        <v>50</v>
      </c>
      <c r="E12" s="396">
        <v>21</v>
      </c>
      <c r="F12" s="396"/>
      <c r="G12" s="401">
        <f t="shared" si="1"/>
        <v>-21</v>
      </c>
      <c r="H12" s="402">
        <f t="shared" si="0"/>
        <v>-1</v>
      </c>
      <c r="I12" s="432"/>
      <c r="J12" s="396">
        <v>39</v>
      </c>
      <c r="K12" s="396"/>
      <c r="L12" s="401">
        <f t="shared" si="10"/>
        <v>-39</v>
      </c>
      <c r="M12" s="402">
        <f t="shared" si="11"/>
        <v>-1</v>
      </c>
      <c r="N12" s="403"/>
      <c r="O12" s="396">
        <v>39</v>
      </c>
      <c r="P12" s="396"/>
      <c r="Q12" s="401">
        <f t="shared" si="12"/>
        <v>-39</v>
      </c>
      <c r="R12" s="402">
        <f t="shared" si="13"/>
        <v>-1</v>
      </c>
      <c r="S12" s="403"/>
      <c r="T12" s="396">
        <v>50</v>
      </c>
      <c r="U12" s="396"/>
      <c r="V12" s="401">
        <f t="shared" si="14"/>
        <v>-50</v>
      </c>
      <c r="W12" s="402">
        <f t="shared" si="15"/>
        <v>-1</v>
      </c>
      <c r="X12" s="403"/>
    </row>
    <row r="13" spans="1:24" ht="31.5" x14ac:dyDescent="0.2">
      <c r="A13" s="390">
        <v>11</v>
      </c>
      <c r="B13" s="395" t="s">
        <v>434</v>
      </c>
      <c r="C13" s="396"/>
      <c r="D13" s="396"/>
      <c r="E13" s="396"/>
      <c r="F13" s="396"/>
      <c r="G13" s="401">
        <f t="shared" si="1"/>
        <v>0</v>
      </c>
      <c r="H13" s="402" t="str">
        <f t="shared" si="0"/>
        <v>-</v>
      </c>
      <c r="I13" s="432"/>
      <c r="J13" s="396"/>
      <c r="K13" s="396"/>
      <c r="L13" s="401">
        <f t="shared" si="10"/>
        <v>0</v>
      </c>
      <c r="M13" s="402" t="str">
        <f t="shared" si="11"/>
        <v>-</v>
      </c>
      <c r="N13" s="403"/>
      <c r="O13" s="396"/>
      <c r="P13" s="396"/>
      <c r="Q13" s="401">
        <f t="shared" si="12"/>
        <v>0</v>
      </c>
      <c r="R13" s="402" t="str">
        <f t="shared" si="13"/>
        <v>-</v>
      </c>
      <c r="S13" s="403"/>
      <c r="T13" s="396"/>
      <c r="U13" s="396"/>
      <c r="V13" s="401">
        <f t="shared" si="14"/>
        <v>0</v>
      </c>
      <c r="W13" s="402" t="str">
        <f t="shared" si="15"/>
        <v>-</v>
      </c>
      <c r="X13" s="403"/>
    </row>
    <row r="14" spans="1:24" x14ac:dyDescent="0.2">
      <c r="A14" s="390">
        <v>12</v>
      </c>
      <c r="B14" s="395" t="s">
        <v>358</v>
      </c>
      <c r="C14" s="396"/>
      <c r="D14" s="396"/>
      <c r="E14" s="396"/>
      <c r="F14" s="396"/>
      <c r="G14" s="401">
        <f t="shared" si="1"/>
        <v>0</v>
      </c>
      <c r="H14" s="402" t="str">
        <f t="shared" si="0"/>
        <v>-</v>
      </c>
      <c r="I14" s="432"/>
      <c r="J14" s="396"/>
      <c r="K14" s="396"/>
      <c r="L14" s="401">
        <f t="shared" si="10"/>
        <v>0</v>
      </c>
      <c r="M14" s="402" t="str">
        <f t="shared" si="11"/>
        <v>-</v>
      </c>
      <c r="N14" s="403"/>
      <c r="O14" s="396"/>
      <c r="P14" s="396"/>
      <c r="Q14" s="401">
        <f t="shared" si="12"/>
        <v>0</v>
      </c>
      <c r="R14" s="402" t="str">
        <f t="shared" si="13"/>
        <v>-</v>
      </c>
      <c r="S14" s="403"/>
      <c r="T14" s="396"/>
      <c r="U14" s="396"/>
      <c r="V14" s="401">
        <f t="shared" si="14"/>
        <v>0</v>
      </c>
      <c r="W14" s="402" t="str">
        <f t="shared" si="15"/>
        <v>-</v>
      </c>
      <c r="X14" s="403"/>
    </row>
    <row r="15" spans="1:24" x14ac:dyDescent="0.2">
      <c r="A15" s="404">
        <v>13</v>
      </c>
      <c r="B15" s="405" t="s">
        <v>435</v>
      </c>
      <c r="C15" s="406">
        <f>C5-C6-C7+C8-C9+C10+C11+C12-C13-C14</f>
        <v>209090</v>
      </c>
      <c r="D15" s="406">
        <f>D5-D6-D7+D8-D9+D10+D11+D12-D13-D14</f>
        <v>-9817</v>
      </c>
      <c r="E15" s="456">
        <f>E5-E7+E8-E9+E12</f>
        <v>-661315</v>
      </c>
      <c r="F15" s="406">
        <f t="shared" ref="F15" si="16">F5-F6-F7+F8-F9+F10+F11+F12-F13-F14</f>
        <v>0</v>
      </c>
      <c r="G15" s="407">
        <f t="shared" si="1"/>
        <v>661315</v>
      </c>
      <c r="H15" s="408">
        <f t="shared" si="0"/>
        <v>1</v>
      </c>
      <c r="I15" s="460"/>
      <c r="J15" s="456">
        <f>J5-J7+J8-J9+J12</f>
        <v>-1208986</v>
      </c>
      <c r="K15" s="406">
        <f t="shared" ref="K15" si="17">K5-K6-K7+K8-K9+K10+K11+K12-K13-K14</f>
        <v>0</v>
      </c>
      <c r="L15" s="407">
        <f t="shared" si="10"/>
        <v>1208986</v>
      </c>
      <c r="M15" s="408">
        <f t="shared" si="11"/>
        <v>1</v>
      </c>
      <c r="N15" s="409"/>
      <c r="O15" s="456">
        <f>O5-O7+O8-O9+O12</f>
        <v>-47783</v>
      </c>
      <c r="P15" s="456">
        <f t="shared" ref="P15" si="18">P5-P6-P7+P8-P9+P10+P11+P12-P13-P14</f>
        <v>0</v>
      </c>
      <c r="Q15" s="457">
        <f t="shared" si="12"/>
        <v>47783</v>
      </c>
      <c r="R15" s="458">
        <f t="shared" si="13"/>
        <v>1</v>
      </c>
      <c r="S15" s="459"/>
      <c r="T15" s="456">
        <f>T5-T7+T8-T9+T12</f>
        <v>-9817</v>
      </c>
      <c r="U15" s="406">
        <f>U5-U6-U7+U8-U9+U10+U11+U12-U13-U14</f>
        <v>0</v>
      </c>
      <c r="V15" s="407">
        <f t="shared" si="14"/>
        <v>9817</v>
      </c>
      <c r="W15" s="408">
        <f t="shared" si="15"/>
        <v>1</v>
      </c>
      <c r="X15" s="409"/>
    </row>
    <row r="16" spans="1:24" x14ac:dyDescent="0.2">
      <c r="A16" s="390">
        <v>14</v>
      </c>
      <c r="B16" s="395" t="s">
        <v>436</v>
      </c>
      <c r="C16" s="396"/>
      <c r="D16" s="396"/>
      <c r="E16" s="396"/>
      <c r="F16" s="396"/>
      <c r="G16" s="401">
        <f t="shared" si="1"/>
        <v>0</v>
      </c>
      <c r="H16" s="402" t="str">
        <f>IFERROR(G16/ABS(E16), "-")</f>
        <v>-</v>
      </c>
      <c r="I16" s="432"/>
      <c r="J16" s="396"/>
      <c r="K16" s="396"/>
      <c r="L16" s="401">
        <f t="shared" si="10"/>
        <v>0</v>
      </c>
      <c r="M16" s="402" t="str">
        <f t="shared" si="11"/>
        <v>-</v>
      </c>
      <c r="N16" s="403"/>
      <c r="O16" s="396"/>
      <c r="P16" s="396"/>
      <c r="Q16" s="401">
        <f t="shared" si="12"/>
        <v>0</v>
      </c>
      <c r="R16" s="402" t="str">
        <f t="shared" si="13"/>
        <v>-</v>
      </c>
      <c r="S16" s="403"/>
      <c r="T16" s="396"/>
      <c r="U16" s="396"/>
      <c r="V16" s="401">
        <f t="shared" si="14"/>
        <v>0</v>
      </c>
      <c r="W16" s="402" t="str">
        <f t="shared" si="15"/>
        <v>-</v>
      </c>
      <c r="X16" s="403"/>
    </row>
    <row r="17" spans="1:24" ht="31.5" x14ac:dyDescent="0.2">
      <c r="A17" s="404">
        <v>15</v>
      </c>
      <c r="B17" s="405" t="s">
        <v>437</v>
      </c>
      <c r="C17" s="410">
        <f>C15-C16</f>
        <v>209090</v>
      </c>
      <c r="D17" s="410">
        <f t="shared" ref="D17:S17" si="19">D15-D16</f>
        <v>-9817</v>
      </c>
      <c r="E17" s="461">
        <f t="shared" si="19"/>
        <v>-661315</v>
      </c>
      <c r="F17" s="410">
        <f t="shared" si="19"/>
        <v>0</v>
      </c>
      <c r="G17" s="410">
        <f t="shared" si="19"/>
        <v>661315</v>
      </c>
      <c r="H17" s="411">
        <f>IFERROR(G17/ABS(E17), "-")</f>
        <v>1</v>
      </c>
      <c r="I17" s="462"/>
      <c r="J17" s="461">
        <f t="shared" si="19"/>
        <v>-1208986</v>
      </c>
      <c r="K17" s="410">
        <f t="shared" si="19"/>
        <v>0</v>
      </c>
      <c r="L17" s="410">
        <f>L15-L16</f>
        <v>1208986</v>
      </c>
      <c r="M17" s="411">
        <f t="shared" si="11"/>
        <v>1</v>
      </c>
      <c r="N17" s="410"/>
      <c r="O17" s="461">
        <f t="shared" si="19"/>
        <v>-47783</v>
      </c>
      <c r="P17" s="461">
        <f t="shared" si="19"/>
        <v>0</v>
      </c>
      <c r="Q17" s="461">
        <f t="shared" si="19"/>
        <v>47783</v>
      </c>
      <c r="R17" s="402">
        <f t="shared" si="13"/>
        <v>1</v>
      </c>
      <c r="S17" s="461">
        <f t="shared" si="19"/>
        <v>0</v>
      </c>
      <c r="T17" s="461">
        <f>T15-T16</f>
        <v>-9817</v>
      </c>
      <c r="U17" s="410">
        <f>U15-U16</f>
        <v>0</v>
      </c>
      <c r="V17" s="412">
        <f t="shared" si="14"/>
        <v>9817</v>
      </c>
      <c r="W17" s="411">
        <f>IFERROR(V17/ABS(T17), "-")</f>
        <v>1</v>
      </c>
      <c r="X17" s="413"/>
    </row>
    <row r="18" spans="1:24" ht="31.5" x14ac:dyDescent="0.2">
      <c r="A18" s="390">
        <v>16</v>
      </c>
      <c r="B18" s="395" t="s">
        <v>438</v>
      </c>
      <c r="C18" s="396"/>
      <c r="D18" s="396"/>
      <c r="E18" s="396"/>
      <c r="F18" s="396"/>
      <c r="G18" s="401">
        <f t="shared" si="1"/>
        <v>0</v>
      </c>
      <c r="H18" s="402" t="str">
        <f t="shared" si="0"/>
        <v>-</v>
      </c>
      <c r="I18" s="432"/>
      <c r="J18" s="396"/>
      <c r="K18" s="396"/>
      <c r="L18" s="401">
        <f t="shared" si="10"/>
        <v>0</v>
      </c>
      <c r="M18" s="402" t="str">
        <f t="shared" si="11"/>
        <v>-</v>
      </c>
      <c r="N18" s="403"/>
      <c r="O18" s="396"/>
      <c r="P18" s="396"/>
      <c r="Q18" s="401">
        <f t="shared" si="12"/>
        <v>0</v>
      </c>
      <c r="R18" s="402" t="str">
        <f t="shared" si="13"/>
        <v>-</v>
      </c>
      <c r="S18" s="403"/>
      <c r="T18" s="396"/>
      <c r="U18" s="396"/>
      <c r="V18" s="401">
        <f t="shared" si="14"/>
        <v>0</v>
      </c>
      <c r="W18" s="402" t="str">
        <f t="shared" si="15"/>
        <v>-</v>
      </c>
      <c r="X18" s="403"/>
    </row>
    <row r="19" spans="1:24" x14ac:dyDescent="0.2">
      <c r="A19" s="390">
        <v>17</v>
      </c>
      <c r="B19" s="395" t="s">
        <v>439</v>
      </c>
      <c r="C19" s="396"/>
      <c r="D19" s="396"/>
      <c r="E19" s="396"/>
      <c r="F19" s="396"/>
      <c r="G19" s="401">
        <f t="shared" si="1"/>
        <v>0</v>
      </c>
      <c r="H19" s="402" t="str">
        <f t="shared" si="0"/>
        <v>-</v>
      </c>
      <c r="I19" s="432"/>
      <c r="J19" s="396"/>
      <c r="K19" s="396"/>
      <c r="L19" s="401">
        <f t="shared" si="10"/>
        <v>0</v>
      </c>
      <c r="M19" s="402" t="str">
        <f t="shared" si="11"/>
        <v>-</v>
      </c>
      <c r="N19" s="403"/>
      <c r="O19" s="396"/>
      <c r="P19" s="396"/>
      <c r="Q19" s="401">
        <f t="shared" si="12"/>
        <v>0</v>
      </c>
      <c r="R19" s="402" t="str">
        <f t="shared" si="13"/>
        <v>-</v>
      </c>
      <c r="S19" s="403"/>
      <c r="T19" s="396"/>
      <c r="U19" s="396"/>
      <c r="V19" s="401">
        <f t="shared" si="14"/>
        <v>0</v>
      </c>
      <c r="W19" s="402" t="str">
        <f t="shared" si="15"/>
        <v>-</v>
      </c>
      <c r="X19" s="403"/>
    </row>
    <row r="20" spans="1:24" x14ac:dyDescent="0.2">
      <c r="A20" s="414">
        <v>18</v>
      </c>
      <c r="B20" s="415" t="s">
        <v>440</v>
      </c>
      <c r="C20" s="416">
        <f>C17-C18-C19</f>
        <v>209090</v>
      </c>
      <c r="D20" s="416">
        <v>-9817</v>
      </c>
      <c r="E20" s="456">
        <v>-661315</v>
      </c>
      <c r="F20" s="416">
        <f t="shared" ref="F20:U20" si="20">F17-F18-F19</f>
        <v>0</v>
      </c>
      <c r="G20" s="416">
        <f t="shared" si="20"/>
        <v>661315</v>
      </c>
      <c r="H20" s="417">
        <f t="shared" si="0"/>
        <v>1</v>
      </c>
      <c r="I20" s="463"/>
      <c r="J20" s="456">
        <v>-1208986</v>
      </c>
      <c r="K20" s="416">
        <f t="shared" si="20"/>
        <v>0</v>
      </c>
      <c r="L20" s="416">
        <f t="shared" si="20"/>
        <v>1208986</v>
      </c>
      <c r="M20" s="417">
        <f t="shared" si="11"/>
        <v>1</v>
      </c>
      <c r="N20" s="416"/>
      <c r="O20" s="456">
        <v>-47783</v>
      </c>
      <c r="P20" s="456">
        <f t="shared" si="20"/>
        <v>0</v>
      </c>
      <c r="Q20" s="456">
        <f t="shared" si="20"/>
        <v>47783</v>
      </c>
      <c r="R20" s="402">
        <f t="shared" si="13"/>
        <v>1</v>
      </c>
      <c r="S20" s="456">
        <f t="shared" si="20"/>
        <v>0</v>
      </c>
      <c r="T20" s="456">
        <v>-9817</v>
      </c>
      <c r="U20" s="406">
        <f t="shared" si="20"/>
        <v>0</v>
      </c>
      <c r="V20" s="407">
        <f t="shared" si="14"/>
        <v>9817</v>
      </c>
      <c r="W20" s="408">
        <f>IFERROR(V20/ABS(T20), "-")</f>
        <v>1</v>
      </c>
      <c r="X20" s="409"/>
    </row>
    <row r="21" spans="1:24" x14ac:dyDescent="0.2">
      <c r="A21" s="418">
        <v>19</v>
      </c>
      <c r="B21" s="419" t="s">
        <v>441</v>
      </c>
      <c r="C21" s="420"/>
      <c r="D21" s="420"/>
      <c r="E21" s="456"/>
      <c r="F21" s="420"/>
      <c r="G21" s="421"/>
      <c r="H21" s="422"/>
      <c r="I21" s="431"/>
      <c r="J21" s="456"/>
      <c r="K21" s="420"/>
      <c r="L21" s="421"/>
      <c r="M21" s="422"/>
      <c r="N21" s="423"/>
      <c r="O21" s="456"/>
      <c r="P21" s="456"/>
      <c r="Q21" s="457"/>
      <c r="R21" s="458"/>
      <c r="S21" s="459"/>
      <c r="T21" s="456"/>
      <c r="U21" s="420"/>
      <c r="V21" s="421"/>
      <c r="W21" s="422"/>
      <c r="X21" s="423"/>
    </row>
    <row r="22" spans="1:24" ht="19.5" x14ac:dyDescent="0.2">
      <c r="A22" s="20"/>
      <c r="B22" s="21"/>
      <c r="C22" s="22"/>
      <c r="D22" s="22"/>
      <c r="E22" s="464"/>
      <c r="F22" s="464"/>
      <c r="G22" s="465"/>
      <c r="H22" s="466"/>
      <c r="I22" s="467"/>
      <c r="J22" s="464"/>
      <c r="K22" s="464"/>
      <c r="L22" s="465"/>
      <c r="M22" s="466"/>
      <c r="N22" s="468"/>
      <c r="O22" s="464"/>
      <c r="P22" s="464"/>
      <c r="Q22" s="465"/>
      <c r="R22" s="466"/>
      <c r="S22" s="468"/>
      <c r="T22" s="464"/>
      <c r="U22" s="22"/>
      <c r="V22" s="424"/>
      <c r="W22" s="425"/>
      <c r="X22" s="23"/>
    </row>
    <row r="23" spans="1:24" ht="19.5" x14ac:dyDescent="0.2">
      <c r="A23" s="20"/>
      <c r="B23" s="21"/>
      <c r="C23" s="22"/>
      <c r="D23" s="22"/>
      <c r="E23" s="464"/>
      <c r="F23" s="464"/>
      <c r="G23" s="465"/>
      <c r="H23" s="466"/>
      <c r="I23" s="467"/>
      <c r="J23" s="464"/>
      <c r="K23" s="464"/>
      <c r="L23" s="465"/>
      <c r="M23" s="466"/>
      <c r="N23" s="468"/>
      <c r="O23" s="464"/>
      <c r="P23" s="464"/>
      <c r="Q23" s="465"/>
      <c r="R23" s="466"/>
      <c r="S23" s="468"/>
      <c r="T23" s="464"/>
      <c r="U23" s="22"/>
      <c r="V23" s="424"/>
      <c r="W23" s="425"/>
      <c r="X23" s="23"/>
    </row>
    <row r="24" spans="1:24" x14ac:dyDescent="0.25">
      <c r="A24" s="518" t="s">
        <v>442</v>
      </c>
      <c r="B24" s="518"/>
      <c r="C24" s="426"/>
      <c r="D24" s="469"/>
      <c r="E24" s="470"/>
      <c r="F24" s="471"/>
      <c r="G24" s="471"/>
      <c r="H24" s="472"/>
      <c r="I24" s="473"/>
      <c r="J24" s="474"/>
      <c r="K24" s="475"/>
      <c r="L24" s="475"/>
      <c r="M24" s="475"/>
      <c r="N24" s="475"/>
      <c r="O24" s="476"/>
      <c r="P24" s="475"/>
      <c r="Q24" s="475"/>
      <c r="R24" s="475"/>
      <c r="S24" s="475"/>
      <c r="T24" s="477"/>
      <c r="U24" s="7"/>
      <c r="V24" s="7"/>
      <c r="W24" s="7"/>
      <c r="X24" s="7"/>
    </row>
    <row r="25" spans="1:24" x14ac:dyDescent="0.2">
      <c r="A25" s="519" t="s">
        <v>514</v>
      </c>
      <c r="B25" s="519"/>
      <c r="C25" s="519"/>
      <c r="D25" s="519"/>
      <c r="E25" s="519"/>
      <c r="F25" s="427"/>
      <c r="G25" s="427"/>
      <c r="I25" s="434"/>
      <c r="J25" s="478"/>
      <c r="O25" s="479"/>
      <c r="P25" s="480"/>
      <c r="Q25" s="480"/>
      <c r="R25" s="480"/>
      <c r="S25" s="480"/>
      <c r="T25" s="479"/>
    </row>
    <row r="26" spans="1:24" x14ac:dyDescent="0.2">
      <c r="A26" s="517" t="s">
        <v>446</v>
      </c>
      <c r="B26" s="517"/>
      <c r="C26" s="517"/>
      <c r="D26" s="517"/>
      <c r="E26" s="517"/>
      <c r="F26" s="517"/>
      <c r="G26" s="517"/>
      <c r="H26" s="7"/>
      <c r="I26" s="433"/>
      <c r="J26" s="7"/>
      <c r="K26" s="7"/>
      <c r="L26" s="7"/>
      <c r="M26" s="7"/>
      <c r="N26" s="7"/>
      <c r="O26" s="7"/>
      <c r="P26" s="7"/>
      <c r="Q26" s="7"/>
      <c r="R26" s="7"/>
      <c r="S26" s="7"/>
      <c r="T26" s="7"/>
      <c r="U26" s="7"/>
      <c r="V26" s="7"/>
      <c r="W26" s="7"/>
      <c r="X26" s="7"/>
    </row>
    <row r="27" spans="1:24" x14ac:dyDescent="0.2">
      <c r="A27" s="7"/>
      <c r="B27" s="7"/>
      <c r="C27" s="7"/>
      <c r="D27" s="7"/>
      <c r="E27" s="7"/>
      <c r="F27" s="7"/>
      <c r="G27" s="7"/>
      <c r="H27" s="7"/>
      <c r="I27" s="435"/>
      <c r="J27" s="7"/>
      <c r="K27" s="7"/>
      <c r="L27" s="7"/>
      <c r="M27" s="7"/>
      <c r="N27" s="7"/>
      <c r="O27" s="7"/>
      <c r="P27" s="7"/>
      <c r="Q27" s="7"/>
      <c r="R27" s="7"/>
      <c r="S27" s="7"/>
      <c r="T27" s="7"/>
      <c r="U27" s="7"/>
      <c r="V27" s="7"/>
      <c r="W27" s="7"/>
      <c r="X27" s="7"/>
    </row>
    <row r="28" spans="1:24" x14ac:dyDescent="0.2">
      <c r="A28" s="7"/>
      <c r="B28" s="7"/>
      <c r="C28" s="7"/>
      <c r="D28" s="7"/>
      <c r="E28" s="7"/>
      <c r="F28" s="7"/>
      <c r="G28" s="7"/>
      <c r="H28" s="7"/>
      <c r="I28" s="435"/>
      <c r="J28" s="7"/>
      <c r="K28" s="7"/>
      <c r="L28" s="7"/>
      <c r="M28" s="7"/>
      <c r="N28" s="7"/>
      <c r="O28" s="7"/>
      <c r="P28" s="7"/>
      <c r="Q28" s="7"/>
      <c r="R28" s="7"/>
      <c r="S28" s="7"/>
      <c r="T28" s="7"/>
      <c r="U28" s="7"/>
      <c r="V28" s="7"/>
      <c r="W28" s="7"/>
      <c r="X28" s="7"/>
    </row>
    <row r="29" spans="1:24" ht="18.75" x14ac:dyDescent="0.2">
      <c r="A29" s="10"/>
      <c r="B29" s="9"/>
      <c r="C29" s="8"/>
      <c r="D29" s="8"/>
      <c r="E29" s="8"/>
      <c r="F29" s="8"/>
      <c r="G29" s="8"/>
      <c r="H29" s="8"/>
      <c r="I29" s="436"/>
      <c r="J29" s="8"/>
      <c r="K29" s="8"/>
      <c r="L29" s="8"/>
      <c r="M29" s="8"/>
      <c r="N29" s="8"/>
      <c r="O29" s="8"/>
      <c r="P29" s="8"/>
      <c r="Q29" s="8"/>
      <c r="R29" s="8"/>
      <c r="S29" s="8"/>
      <c r="T29" s="8"/>
      <c r="U29" s="8"/>
      <c r="V29" s="8"/>
      <c r="W29" s="8"/>
      <c r="X29" s="8"/>
    </row>
    <row r="30" spans="1:24" ht="18.75" x14ac:dyDescent="0.2">
      <c r="A30" s="10"/>
      <c r="B30" s="9"/>
      <c r="C30" s="8"/>
      <c r="D30" s="8"/>
      <c r="E30" s="8"/>
      <c r="F30" s="8"/>
      <c r="G30" s="8"/>
      <c r="H30" s="8"/>
      <c r="I30" s="436"/>
      <c r="J30" s="8"/>
      <c r="K30" s="8"/>
      <c r="L30" s="8"/>
      <c r="M30" s="8"/>
      <c r="N30" s="8"/>
      <c r="O30" s="8"/>
      <c r="P30" s="8"/>
      <c r="Q30" s="8"/>
      <c r="R30" s="8"/>
      <c r="S30" s="8"/>
      <c r="T30" s="8"/>
      <c r="U30" s="8"/>
      <c r="V30" s="8"/>
      <c r="W30" s="8"/>
      <c r="X30" s="8"/>
    </row>
    <row r="31" spans="1:24" ht="18.75" x14ac:dyDescent="0.2">
      <c r="A31" s="10"/>
      <c r="B31" s="9"/>
      <c r="C31" s="8"/>
      <c r="D31" s="8"/>
      <c r="E31" s="8"/>
      <c r="F31" s="8"/>
      <c r="G31" s="8"/>
      <c r="H31" s="8"/>
      <c r="I31" s="436"/>
      <c r="J31" s="8"/>
      <c r="K31" s="8"/>
      <c r="L31" s="8"/>
      <c r="M31" s="8"/>
      <c r="N31" s="8"/>
      <c r="O31" s="8"/>
      <c r="P31" s="8"/>
      <c r="Q31" s="8"/>
      <c r="R31" s="8"/>
      <c r="S31" s="8"/>
      <c r="T31" s="8"/>
      <c r="U31" s="8"/>
      <c r="V31" s="8"/>
      <c r="W31" s="8"/>
      <c r="X31" s="8"/>
    </row>
    <row r="32" spans="1:24" ht="18.75" x14ac:dyDescent="0.2">
      <c r="A32" s="10"/>
      <c r="B32" s="9"/>
      <c r="C32" s="8"/>
      <c r="D32" s="8"/>
      <c r="E32" s="8"/>
      <c r="F32" s="8"/>
      <c r="G32" s="8"/>
      <c r="H32" s="8"/>
      <c r="I32" s="436"/>
      <c r="J32" s="8"/>
      <c r="K32" s="8"/>
      <c r="L32" s="8"/>
      <c r="M32" s="8"/>
      <c r="N32" s="8"/>
      <c r="O32" s="8"/>
      <c r="P32" s="8"/>
      <c r="Q32" s="8"/>
      <c r="R32" s="8"/>
      <c r="S32" s="8"/>
      <c r="T32" s="8"/>
      <c r="U32" s="8"/>
      <c r="V32" s="8"/>
      <c r="W32" s="8"/>
      <c r="X32" s="8"/>
    </row>
    <row r="33" spans="1:24" ht="18.75" x14ac:dyDescent="0.2">
      <c r="A33" s="10"/>
      <c r="B33" s="9"/>
      <c r="C33" s="8"/>
      <c r="D33" s="8"/>
      <c r="E33" s="8"/>
      <c r="F33" s="8"/>
      <c r="G33" s="8"/>
      <c r="H33" s="8"/>
      <c r="I33" s="436"/>
      <c r="J33" s="8"/>
      <c r="K33" s="8"/>
      <c r="L33" s="8"/>
      <c r="M33" s="8"/>
      <c r="N33" s="8"/>
      <c r="O33" s="8"/>
      <c r="P33" s="8"/>
      <c r="Q33" s="8"/>
      <c r="R33" s="8"/>
      <c r="S33" s="8"/>
      <c r="T33" s="8"/>
      <c r="U33" s="8"/>
      <c r="V33" s="8"/>
      <c r="W33" s="8"/>
      <c r="X33" s="8"/>
    </row>
    <row r="34" spans="1:24" ht="18.75" x14ac:dyDescent="0.2">
      <c r="A34" s="10"/>
      <c r="B34" s="9"/>
      <c r="C34" s="8"/>
      <c r="D34" s="8"/>
      <c r="E34" s="8"/>
      <c r="F34" s="8"/>
      <c r="G34" s="8"/>
      <c r="H34" s="8"/>
      <c r="I34" s="436"/>
      <c r="J34" s="8"/>
      <c r="K34" s="8"/>
      <c r="L34" s="8"/>
      <c r="M34" s="8"/>
      <c r="N34" s="8"/>
      <c r="O34" s="8"/>
      <c r="P34" s="8"/>
      <c r="Q34" s="8"/>
      <c r="R34" s="8"/>
      <c r="S34" s="8"/>
      <c r="T34" s="8"/>
      <c r="U34" s="8"/>
      <c r="V34" s="8"/>
      <c r="W34" s="8"/>
      <c r="X34" s="8"/>
    </row>
  </sheetData>
  <sheetProtection formatColumns="0" formatRows="0"/>
  <mergeCells count="3">
    <mergeCell ref="A26:G26"/>
    <mergeCell ref="A24:B24"/>
    <mergeCell ref="A25:E25"/>
  </mergeCells>
  <pageMargins left="0.23622047244094491" right="0.23622047244094491" top="0.74803149606299213" bottom="0.74803149606299213" header="0.31496062992125984" footer="0.31496062992125984"/>
  <pageSetup paperSize="9" scale="27" fitToHeight="0" orientation="landscape" verticalDpi="90" r:id="rId1"/>
  <headerFooter>
    <oddHeader>&amp;C&amp;"Times New Roman,Bold"&amp;14Peļņas vai 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X87"/>
  <sheetViews>
    <sheetView view="pageBreakPreview" topLeftCell="C1" zoomScale="70" zoomScaleNormal="85" zoomScaleSheetLayoutView="70" workbookViewId="0">
      <pane ySplit="1" topLeftCell="A52" activePane="bottomLeft" state="frozen"/>
      <selection pane="bottomLeft" activeCell="T2" sqref="T2"/>
    </sheetView>
  </sheetViews>
  <sheetFormatPr defaultColWidth="9.140625" defaultRowHeight="15.75" outlineLevelCol="1" x14ac:dyDescent="0.2"/>
  <cols>
    <col min="1" max="1" width="8.42578125" style="33" bestFit="1" customWidth="1"/>
    <col min="2" max="2" width="45.28515625" style="33" customWidth="1"/>
    <col min="3" max="5" width="17.7109375" style="42" customWidth="1"/>
    <col min="6" max="6" width="17.7109375" style="42" customWidth="1" outlineLevel="1"/>
    <col min="7" max="8" width="17.7109375" style="55" customWidth="1" outlineLevel="1"/>
    <col min="9" max="9" width="43.28515625" style="42" customWidth="1" outlineLevel="1"/>
    <col min="10" max="10" width="17.7109375" style="42" customWidth="1"/>
    <col min="11" max="11" width="17.7109375" style="42" customWidth="1" outlineLevel="1"/>
    <col min="12" max="13" width="17.7109375" style="55" customWidth="1" outlineLevel="1"/>
    <col min="14" max="14" width="43.28515625" style="42" customWidth="1" outlineLevel="1"/>
    <col min="15" max="15" width="17.7109375" style="493" customWidth="1"/>
    <col min="16" max="16" width="17.7109375" style="42" customWidth="1" outlineLevel="1"/>
    <col min="17" max="18" width="17.7109375" style="55" customWidth="1" outlineLevel="1"/>
    <col min="19" max="19" width="43.28515625" style="42" customWidth="1" outlineLevel="1"/>
    <col min="20" max="20" width="19.5703125" style="493" customWidth="1"/>
    <col min="21" max="21" width="17.7109375" style="42" customWidth="1" outlineLevel="1"/>
    <col min="22" max="23" width="17.7109375" style="55" customWidth="1" outlineLevel="1"/>
    <col min="24" max="24" width="43.28515625" style="42" customWidth="1" outlineLevel="1"/>
    <col min="25" max="16384" width="9.140625" style="42"/>
  </cols>
  <sheetData>
    <row r="1" spans="1:24" s="33" customFormat="1" ht="63" x14ac:dyDescent="0.2">
      <c r="A1" s="24" t="s">
        <v>0</v>
      </c>
      <c r="B1" s="32" t="s">
        <v>512</v>
      </c>
      <c r="C1" s="25" t="s">
        <v>568</v>
      </c>
      <c r="D1" s="25" t="s">
        <v>569</v>
      </c>
      <c r="E1" s="25" t="s">
        <v>570</v>
      </c>
      <c r="F1" s="25" t="s">
        <v>575</v>
      </c>
      <c r="G1" s="26" t="s">
        <v>573</v>
      </c>
      <c r="H1" s="27" t="s">
        <v>574</v>
      </c>
      <c r="I1" s="25" t="s">
        <v>510</v>
      </c>
      <c r="J1" s="25" t="s">
        <v>571</v>
      </c>
      <c r="K1" s="25" t="s">
        <v>572</v>
      </c>
      <c r="L1" s="26" t="s">
        <v>404</v>
      </c>
      <c r="M1" s="27" t="s">
        <v>405</v>
      </c>
      <c r="N1" s="25" t="s">
        <v>510</v>
      </c>
      <c r="O1" s="25" t="s">
        <v>576</v>
      </c>
      <c r="P1" s="25" t="s">
        <v>577</v>
      </c>
      <c r="Q1" s="26" t="s">
        <v>404</v>
      </c>
      <c r="R1" s="27" t="s">
        <v>405</v>
      </c>
      <c r="S1" s="25" t="s">
        <v>510</v>
      </c>
      <c r="T1" s="25" t="s">
        <v>578</v>
      </c>
      <c r="U1" s="25" t="s">
        <v>432</v>
      </c>
      <c r="V1" s="26" t="s">
        <v>404</v>
      </c>
      <c r="W1" s="27" t="s">
        <v>405</v>
      </c>
      <c r="X1" s="25" t="s">
        <v>510</v>
      </c>
    </row>
    <row r="2" spans="1:24" s="33" customFormat="1" ht="12" customHeight="1" x14ac:dyDescent="0.2">
      <c r="A2" s="34">
        <v>1</v>
      </c>
      <c r="B2" s="25">
        <v>2</v>
      </c>
      <c r="C2" s="25">
        <v>3</v>
      </c>
      <c r="D2" s="25">
        <v>4</v>
      </c>
      <c r="E2" s="25">
        <v>5</v>
      </c>
      <c r="F2" s="25">
        <v>6</v>
      </c>
      <c r="G2" s="26">
        <v>7</v>
      </c>
      <c r="H2" s="28">
        <v>8</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4" s="33" customFormat="1" x14ac:dyDescent="0.2">
      <c r="A3" s="362">
        <v>1000</v>
      </c>
      <c r="B3" s="331" t="s">
        <v>316</v>
      </c>
      <c r="C3" s="345">
        <f>C4+C11</f>
        <v>13125602</v>
      </c>
      <c r="D3" s="345">
        <f>D4+D11</f>
        <v>12601944</v>
      </c>
      <c r="E3" s="345">
        <f>E4+E11+E21</f>
        <v>12998926</v>
      </c>
      <c r="F3" s="345">
        <f t="shared" ref="F3" si="0">F4+F11</f>
        <v>0</v>
      </c>
      <c r="G3" s="346">
        <f t="shared" ref="G3:G20" si="1">F3-E3</f>
        <v>-12998926</v>
      </c>
      <c r="H3" s="347">
        <f t="shared" ref="H3:H47" si="2">IFERROR(G3/ABS(E3), "-")</f>
        <v>-1</v>
      </c>
      <c r="I3" s="482"/>
      <c r="J3" s="345">
        <f>J4+J11+J21</f>
        <v>12863265</v>
      </c>
      <c r="K3" s="345">
        <f>K4+K11+K21</f>
        <v>0</v>
      </c>
      <c r="L3" s="346">
        <f t="shared" ref="L3:L20" si="3">K3-J3</f>
        <v>-12863265</v>
      </c>
      <c r="M3" s="347">
        <f t="shared" ref="M3:M47" si="4">IFERROR(L3/ABS(J3), "-")</f>
        <v>-1</v>
      </c>
      <c r="N3" s="348"/>
      <c r="O3" s="345">
        <f>O4+O11+O21</f>
        <v>12907231</v>
      </c>
      <c r="P3" s="345">
        <f>P4+P11+P21</f>
        <v>0</v>
      </c>
      <c r="Q3" s="346">
        <f t="shared" ref="Q3:Q20" si="5">P3-O3</f>
        <v>-12907231</v>
      </c>
      <c r="R3" s="347">
        <f t="shared" ref="R3:R43" si="6">IFERROR(Q3/ABS(O3), "-")</f>
        <v>-1</v>
      </c>
      <c r="S3" s="348"/>
      <c r="T3" s="345">
        <f>T4+T11+T21</f>
        <v>12601944</v>
      </c>
      <c r="U3" s="345">
        <f>U4+U11+U21</f>
        <v>0</v>
      </c>
      <c r="V3" s="346">
        <f t="shared" ref="V3:V47" si="7">U3-T3</f>
        <v>-12601944</v>
      </c>
      <c r="W3" s="347">
        <f t="shared" ref="W3:W47" si="8">IFERROR(V3/ABS(T3), "-")</f>
        <v>-1</v>
      </c>
      <c r="X3" s="348"/>
    </row>
    <row r="4" spans="1:24" s="33" customFormat="1" ht="15.75" customHeight="1" x14ac:dyDescent="0.2">
      <c r="A4" s="190">
        <v>1100</v>
      </c>
      <c r="B4" s="57" t="s">
        <v>317</v>
      </c>
      <c r="C4" s="36">
        <f>C5+C6+C7+C8+C9+C10</f>
        <v>65674</v>
      </c>
      <c r="D4" s="36">
        <f>D5+D6+D7+D8+D9+D10</f>
        <v>43167</v>
      </c>
      <c r="E4" s="36">
        <f t="shared" ref="E4" si="9">E5+E6+E7+E8+E9</f>
        <v>60047</v>
      </c>
      <c r="F4" s="36">
        <f>F5+F6+F7+F8+F9</f>
        <v>0</v>
      </c>
      <c r="G4" s="37">
        <f t="shared" si="1"/>
        <v>-60047</v>
      </c>
      <c r="H4" s="30">
        <f t="shared" si="2"/>
        <v>-1</v>
      </c>
      <c r="I4" s="526"/>
      <c r="J4" s="36">
        <f t="shared" ref="J4" si="10">J5+J6+J7+J8+J9</f>
        <v>54420</v>
      </c>
      <c r="K4" s="36">
        <f>K5+K6+K7+K8+K9</f>
        <v>0</v>
      </c>
      <c r="L4" s="37">
        <f t="shared" si="3"/>
        <v>-54420</v>
      </c>
      <c r="M4" s="30">
        <f t="shared" si="4"/>
        <v>-1</v>
      </c>
      <c r="N4" s="520"/>
      <c r="O4" s="36">
        <f t="shared" ref="O4" si="11">O5+O6+O7+O8+O9</f>
        <v>48794</v>
      </c>
      <c r="P4" s="36">
        <f>P5+P6+P7+P8+P9</f>
        <v>0</v>
      </c>
      <c r="Q4" s="37">
        <f>P4-O4</f>
        <v>-48794</v>
      </c>
      <c r="R4" s="30">
        <f t="shared" si="6"/>
        <v>-1</v>
      </c>
      <c r="S4" s="520"/>
      <c r="T4" s="36">
        <f t="shared" ref="T4" si="12">T5+T6+T7+T8+T9</f>
        <v>43167</v>
      </c>
      <c r="U4" s="36">
        <f>U5+U6+U7+U8+U9</f>
        <v>0</v>
      </c>
      <c r="V4" s="37">
        <f t="shared" si="7"/>
        <v>-43167</v>
      </c>
      <c r="W4" s="30">
        <f t="shared" si="8"/>
        <v>-1</v>
      </c>
      <c r="X4" s="520"/>
    </row>
    <row r="5" spans="1:24" x14ac:dyDescent="0.2">
      <c r="A5" s="301">
        <v>1110</v>
      </c>
      <c r="B5" s="39" t="s">
        <v>420</v>
      </c>
      <c r="C5" s="45"/>
      <c r="D5" s="45"/>
      <c r="E5" s="45"/>
      <c r="F5" s="45"/>
      <c r="G5" s="46">
        <f t="shared" si="1"/>
        <v>0</v>
      </c>
      <c r="H5" s="47" t="str">
        <f t="shared" si="2"/>
        <v>-</v>
      </c>
      <c r="I5" s="527"/>
      <c r="J5" s="45"/>
      <c r="K5" s="45"/>
      <c r="L5" s="46">
        <f t="shared" si="3"/>
        <v>0</v>
      </c>
      <c r="M5" s="47" t="str">
        <f t="shared" si="4"/>
        <v>-</v>
      </c>
      <c r="N5" s="521"/>
      <c r="O5" s="483"/>
      <c r="P5" s="45"/>
      <c r="Q5" s="46">
        <f t="shared" si="5"/>
        <v>0</v>
      </c>
      <c r="R5" s="47" t="str">
        <f t="shared" si="6"/>
        <v>-</v>
      </c>
      <c r="S5" s="521"/>
      <c r="T5" s="483"/>
      <c r="U5" s="45"/>
      <c r="V5" s="46">
        <f t="shared" si="7"/>
        <v>0</v>
      </c>
      <c r="W5" s="47" t="str">
        <f t="shared" si="8"/>
        <v>-</v>
      </c>
      <c r="X5" s="521"/>
    </row>
    <row r="6" spans="1:24" ht="31.5" x14ac:dyDescent="0.2">
      <c r="A6" s="301">
        <v>1120</v>
      </c>
      <c r="B6" s="39" t="s">
        <v>421</v>
      </c>
      <c r="C6" s="45">
        <v>65674</v>
      </c>
      <c r="D6" s="45">
        <v>43167</v>
      </c>
      <c r="E6" s="45">
        <v>60047</v>
      </c>
      <c r="F6" s="45"/>
      <c r="G6" s="46">
        <f t="shared" si="1"/>
        <v>-60047</v>
      </c>
      <c r="H6" s="47">
        <f t="shared" si="2"/>
        <v>-1</v>
      </c>
      <c r="I6" s="527"/>
      <c r="J6" s="45">
        <v>54420</v>
      </c>
      <c r="K6" s="45"/>
      <c r="L6" s="46">
        <f t="shared" si="3"/>
        <v>-54420</v>
      </c>
      <c r="M6" s="47">
        <f t="shared" si="4"/>
        <v>-1</v>
      </c>
      <c r="N6" s="521"/>
      <c r="O6" s="45">
        <v>48794</v>
      </c>
      <c r="P6" s="45"/>
      <c r="Q6" s="46">
        <f t="shared" si="5"/>
        <v>-48794</v>
      </c>
      <c r="R6" s="47">
        <f t="shared" si="6"/>
        <v>-1</v>
      </c>
      <c r="S6" s="521"/>
      <c r="T6" s="45">
        <v>43167</v>
      </c>
      <c r="U6" s="45"/>
      <c r="V6" s="46">
        <f t="shared" si="7"/>
        <v>-43167</v>
      </c>
      <c r="W6" s="47">
        <f t="shared" si="8"/>
        <v>-1</v>
      </c>
      <c r="X6" s="521"/>
    </row>
    <row r="7" spans="1:24" x14ac:dyDescent="0.2">
      <c r="A7" s="301">
        <v>1130</v>
      </c>
      <c r="B7" s="39" t="s">
        <v>422</v>
      </c>
      <c r="C7" s="45"/>
      <c r="D7" s="45"/>
      <c r="E7" s="45"/>
      <c r="F7" s="45"/>
      <c r="G7" s="46">
        <f t="shared" si="1"/>
        <v>0</v>
      </c>
      <c r="H7" s="47" t="str">
        <f t="shared" si="2"/>
        <v>-</v>
      </c>
      <c r="I7" s="527"/>
      <c r="J7" s="45"/>
      <c r="K7" s="45"/>
      <c r="L7" s="46">
        <f t="shared" si="3"/>
        <v>0</v>
      </c>
      <c r="M7" s="47" t="str">
        <f t="shared" si="4"/>
        <v>-</v>
      </c>
      <c r="N7" s="521"/>
      <c r="O7" s="483"/>
      <c r="P7" s="45"/>
      <c r="Q7" s="46">
        <f t="shared" si="5"/>
        <v>0</v>
      </c>
      <c r="R7" s="47" t="str">
        <f t="shared" si="6"/>
        <v>-</v>
      </c>
      <c r="S7" s="521"/>
      <c r="T7" s="483"/>
      <c r="U7" s="45"/>
      <c r="V7" s="46">
        <f t="shared" si="7"/>
        <v>0</v>
      </c>
      <c r="W7" s="47" t="str">
        <f t="shared" si="8"/>
        <v>-</v>
      </c>
      <c r="X7" s="521"/>
    </row>
    <row r="8" spans="1:24" x14ac:dyDescent="0.2">
      <c r="A8" s="301">
        <v>1140</v>
      </c>
      <c r="B8" s="39" t="s">
        <v>423</v>
      </c>
      <c r="C8" s="45"/>
      <c r="D8" s="45"/>
      <c r="E8" s="45"/>
      <c r="F8" s="45"/>
      <c r="G8" s="46">
        <f t="shared" si="1"/>
        <v>0</v>
      </c>
      <c r="H8" s="47" t="str">
        <f t="shared" si="2"/>
        <v>-</v>
      </c>
      <c r="I8" s="527"/>
      <c r="J8" s="45"/>
      <c r="K8" s="45"/>
      <c r="L8" s="46">
        <f t="shared" si="3"/>
        <v>0</v>
      </c>
      <c r="M8" s="47" t="str">
        <f t="shared" si="4"/>
        <v>-</v>
      </c>
      <c r="N8" s="521"/>
      <c r="O8" s="483"/>
      <c r="P8" s="45"/>
      <c r="Q8" s="46">
        <f t="shared" si="5"/>
        <v>0</v>
      </c>
      <c r="R8" s="47" t="str">
        <f t="shared" si="6"/>
        <v>-</v>
      </c>
      <c r="S8" s="521"/>
      <c r="T8" s="483"/>
      <c r="U8" s="45"/>
      <c r="V8" s="46">
        <f t="shared" si="7"/>
        <v>0</v>
      </c>
      <c r="W8" s="47" t="str">
        <f t="shared" si="8"/>
        <v>-</v>
      </c>
      <c r="X8" s="521"/>
    </row>
    <row r="9" spans="1:24" ht="31.5" x14ac:dyDescent="0.2">
      <c r="A9" s="301">
        <v>1180</v>
      </c>
      <c r="B9" s="39" t="s">
        <v>424</v>
      </c>
      <c r="C9" s="45"/>
      <c r="D9" s="45"/>
      <c r="E9" s="45"/>
      <c r="F9" s="45"/>
      <c r="G9" s="46">
        <f>F9-E9</f>
        <v>0</v>
      </c>
      <c r="H9" s="47" t="str">
        <f t="shared" si="2"/>
        <v>-</v>
      </c>
      <c r="I9" s="527"/>
      <c r="J9" s="45"/>
      <c r="K9" s="45"/>
      <c r="L9" s="46">
        <f t="shared" si="3"/>
        <v>0</v>
      </c>
      <c r="M9" s="47" t="str">
        <f t="shared" si="4"/>
        <v>-</v>
      </c>
      <c r="N9" s="521"/>
      <c r="O9" s="483"/>
      <c r="P9" s="45"/>
      <c r="Q9" s="46">
        <f t="shared" si="5"/>
        <v>0</v>
      </c>
      <c r="R9" s="47" t="str">
        <f t="shared" si="6"/>
        <v>-</v>
      </c>
      <c r="S9" s="521"/>
      <c r="T9" s="483"/>
      <c r="U9" s="45"/>
      <c r="V9" s="46">
        <f>U9-T9</f>
        <v>0</v>
      </c>
      <c r="W9" s="47" t="str">
        <f>IFERROR(V9/ABS(T9), "-")</f>
        <v>-</v>
      </c>
      <c r="X9" s="521"/>
    </row>
    <row r="10" spans="1:24" ht="31.5" x14ac:dyDescent="0.2">
      <c r="A10" s="301">
        <v>1190</v>
      </c>
      <c r="B10" s="39" t="s">
        <v>535</v>
      </c>
      <c r="C10" s="45"/>
      <c r="D10" s="45"/>
      <c r="E10" s="45"/>
      <c r="F10" s="45"/>
      <c r="G10" s="46">
        <f>F10-E10</f>
        <v>0</v>
      </c>
      <c r="H10" s="47" t="str">
        <f t="shared" si="2"/>
        <v>-</v>
      </c>
      <c r="I10" s="528"/>
      <c r="J10" s="45"/>
      <c r="K10" s="45"/>
      <c r="L10" s="46">
        <f t="shared" si="3"/>
        <v>0</v>
      </c>
      <c r="M10" s="47" t="str">
        <f t="shared" si="4"/>
        <v>-</v>
      </c>
      <c r="N10" s="525"/>
      <c r="O10" s="483"/>
      <c r="P10" s="45"/>
      <c r="Q10" s="46">
        <f t="shared" si="5"/>
        <v>0</v>
      </c>
      <c r="R10" s="47" t="str">
        <f t="shared" si="6"/>
        <v>-</v>
      </c>
      <c r="S10" s="525"/>
      <c r="T10" s="483"/>
      <c r="U10" s="45"/>
      <c r="V10" s="46">
        <f>U10-T10</f>
        <v>0</v>
      </c>
      <c r="W10" s="47" t="str">
        <f>IFERROR(V10/ABS(T10), "-")</f>
        <v>-</v>
      </c>
      <c r="X10" s="525"/>
    </row>
    <row r="11" spans="1:24" s="33" customFormat="1" x14ac:dyDescent="0.2">
      <c r="A11" s="190">
        <v>1200</v>
      </c>
      <c r="B11" s="57" t="s">
        <v>318</v>
      </c>
      <c r="C11" s="36">
        <f>C12+C13+C14+C15+C16+C17+C18+C19+C20</f>
        <v>13059928</v>
      </c>
      <c r="D11" s="36">
        <f>D12+D13+D14+D15+D16+D17+D18+D19+D20</f>
        <v>12558777</v>
      </c>
      <c r="E11" s="36">
        <f>E12+E13+E14+E15+E16+E17+E18+E19+E20</f>
        <v>12938879</v>
      </c>
      <c r="F11" s="36">
        <f t="shared" ref="F11" si="13">F12+F13+F14+F15+F16+F17+F18+F19+F20</f>
        <v>0</v>
      </c>
      <c r="G11" s="351">
        <f t="shared" si="1"/>
        <v>-12938879</v>
      </c>
      <c r="H11" s="30">
        <f t="shared" si="2"/>
        <v>-1</v>
      </c>
      <c r="I11" s="526"/>
      <c r="J11" s="36">
        <f>J12+J13+J14+J15+J16+J17+J18+J19+J20</f>
        <v>12808845</v>
      </c>
      <c r="K11" s="36">
        <f t="shared" ref="K11" si="14">K12+K13+K14+K15+K16+K17+K18+K19+K20</f>
        <v>0</v>
      </c>
      <c r="L11" s="351">
        <f t="shared" si="3"/>
        <v>-12808845</v>
      </c>
      <c r="M11" s="30">
        <f t="shared" si="4"/>
        <v>-1</v>
      </c>
      <c r="N11" s="520"/>
      <c r="O11" s="36">
        <f t="shared" ref="O11:P11" si="15">O12+O13+O14+O15+O16+O17+O18+O19+O20</f>
        <v>12858437</v>
      </c>
      <c r="P11" s="36">
        <f t="shared" si="15"/>
        <v>0</v>
      </c>
      <c r="Q11" s="351">
        <f t="shared" si="5"/>
        <v>-12858437</v>
      </c>
      <c r="R11" s="30">
        <f t="shared" si="6"/>
        <v>-1</v>
      </c>
      <c r="S11" s="520"/>
      <c r="T11" s="36">
        <f t="shared" ref="T11:U11" si="16">T12+T13+T14+T15+T16+T17+T18+T19+T20</f>
        <v>12558777</v>
      </c>
      <c r="U11" s="36">
        <f t="shared" si="16"/>
        <v>0</v>
      </c>
      <c r="V11" s="37">
        <f t="shared" si="7"/>
        <v>-12558777</v>
      </c>
      <c r="W11" s="30">
        <f t="shared" si="8"/>
        <v>-1</v>
      </c>
      <c r="X11" s="520"/>
    </row>
    <row r="12" spans="1:24" x14ac:dyDescent="0.2">
      <c r="A12" s="301">
        <v>1210</v>
      </c>
      <c r="B12" s="39" t="s">
        <v>537</v>
      </c>
      <c r="C12" s="45">
        <v>9543608</v>
      </c>
      <c r="D12" s="45">
        <v>9459103</v>
      </c>
      <c r="E12" s="484">
        <v>9543643</v>
      </c>
      <c r="F12" s="45"/>
      <c r="G12" s="46">
        <f t="shared" si="1"/>
        <v>-9543643</v>
      </c>
      <c r="H12" s="47">
        <f t="shared" si="2"/>
        <v>-1</v>
      </c>
      <c r="I12" s="527"/>
      <c r="J12" s="45">
        <v>9515463</v>
      </c>
      <c r="K12" s="45"/>
      <c r="L12" s="46">
        <f t="shared" si="3"/>
        <v>-9515463</v>
      </c>
      <c r="M12" s="47">
        <f t="shared" si="4"/>
        <v>-1</v>
      </c>
      <c r="N12" s="521"/>
      <c r="O12" s="40">
        <f>9515463-28180</f>
        <v>9487283</v>
      </c>
      <c r="P12" s="45"/>
      <c r="Q12" s="46">
        <f t="shared" si="5"/>
        <v>-9487283</v>
      </c>
      <c r="R12" s="47">
        <f t="shared" si="6"/>
        <v>-1</v>
      </c>
      <c r="S12" s="521"/>
      <c r="T12" s="40">
        <f>9515463-28180-28180</f>
        <v>9459103</v>
      </c>
      <c r="U12" s="45"/>
      <c r="V12" s="46">
        <f t="shared" si="7"/>
        <v>-9459103</v>
      </c>
      <c r="W12" s="47">
        <f t="shared" si="8"/>
        <v>-1</v>
      </c>
      <c r="X12" s="521"/>
    </row>
    <row r="13" spans="1:24" x14ac:dyDescent="0.2">
      <c r="A13" s="301">
        <v>1220</v>
      </c>
      <c r="B13" s="39" t="s">
        <v>536</v>
      </c>
      <c r="C13" s="45">
        <v>2189496</v>
      </c>
      <c r="D13" s="45">
        <v>2005136</v>
      </c>
      <c r="E13" s="45">
        <v>2114767</v>
      </c>
      <c r="F13" s="45"/>
      <c r="G13" s="46">
        <f t="shared" si="1"/>
        <v>-2114767</v>
      </c>
      <c r="H13" s="47">
        <f t="shared" si="2"/>
        <v>-1</v>
      </c>
      <c r="I13" s="527"/>
      <c r="J13" s="45">
        <v>2074890</v>
      </c>
      <c r="K13" s="45"/>
      <c r="L13" s="46">
        <f t="shared" si="3"/>
        <v>-2074890</v>
      </c>
      <c r="M13" s="47">
        <f t="shared" si="4"/>
        <v>-1</v>
      </c>
      <c r="N13" s="521"/>
      <c r="O13" s="40">
        <f>2074890-39877+179626</f>
        <v>2214639</v>
      </c>
      <c r="P13" s="45"/>
      <c r="Q13" s="46">
        <f t="shared" si="5"/>
        <v>-2214639</v>
      </c>
      <c r="R13" s="47">
        <f t="shared" si="6"/>
        <v>-1</v>
      </c>
      <c r="S13" s="521"/>
      <c r="T13" s="40">
        <f>2074890-39877-39877+10000</f>
        <v>2005136</v>
      </c>
      <c r="U13" s="45"/>
      <c r="V13" s="46">
        <f t="shared" si="7"/>
        <v>-2005136</v>
      </c>
      <c r="W13" s="47">
        <f t="shared" si="8"/>
        <v>-1</v>
      </c>
      <c r="X13" s="521"/>
    </row>
    <row r="14" spans="1:24" x14ac:dyDescent="0.2">
      <c r="A14" s="301">
        <v>1230</v>
      </c>
      <c r="B14" s="39" t="s">
        <v>538</v>
      </c>
      <c r="C14" s="45">
        <v>1325220</v>
      </c>
      <c r="D14" s="45">
        <v>1086098</v>
      </c>
      <c r="E14" s="45">
        <v>1272029</v>
      </c>
      <c r="F14" s="45"/>
      <c r="G14" s="46">
        <f t="shared" si="1"/>
        <v>-1272029</v>
      </c>
      <c r="H14" s="47">
        <f t="shared" si="2"/>
        <v>-1</v>
      </c>
      <c r="I14" s="527"/>
      <c r="J14" s="45">
        <v>1210052</v>
      </c>
      <c r="K14" s="45"/>
      <c r="L14" s="46">
        <f t="shared" si="3"/>
        <v>-1210052</v>
      </c>
      <c r="M14" s="47">
        <f t="shared" si="4"/>
        <v>-1</v>
      </c>
      <c r="N14" s="521"/>
      <c r="O14" s="40">
        <f>1210052-61977</f>
        <v>1148075</v>
      </c>
      <c r="P14" s="45"/>
      <c r="Q14" s="46">
        <f t="shared" si="5"/>
        <v>-1148075</v>
      </c>
      <c r="R14" s="47">
        <f t="shared" si="6"/>
        <v>-1</v>
      </c>
      <c r="S14" s="521"/>
      <c r="T14" s="40">
        <f>1210052-61977-61977</f>
        <v>1086098</v>
      </c>
      <c r="U14" s="45"/>
      <c r="V14" s="46">
        <f t="shared" si="7"/>
        <v>-1086098</v>
      </c>
      <c r="W14" s="47">
        <f t="shared" si="8"/>
        <v>-1</v>
      </c>
      <c r="X14" s="521"/>
    </row>
    <row r="15" spans="1:24" ht="15.6" customHeight="1" x14ac:dyDescent="0.2">
      <c r="A15" s="301">
        <v>1240</v>
      </c>
      <c r="B15" s="39" t="s">
        <v>539</v>
      </c>
      <c r="C15" s="45">
        <v>1604</v>
      </c>
      <c r="D15" s="45">
        <v>8440</v>
      </c>
      <c r="E15" s="45">
        <v>8440</v>
      </c>
      <c r="F15" s="45"/>
      <c r="G15" s="46">
        <f t="shared" si="1"/>
        <v>-8440</v>
      </c>
      <c r="H15" s="47">
        <f t="shared" si="2"/>
        <v>-1</v>
      </c>
      <c r="I15" s="527"/>
      <c r="J15" s="45">
        <v>8440</v>
      </c>
      <c r="K15" s="45"/>
      <c r="L15" s="46">
        <f t="shared" si="3"/>
        <v>-8440</v>
      </c>
      <c r="M15" s="47">
        <f t="shared" si="4"/>
        <v>-1</v>
      </c>
      <c r="N15" s="521"/>
      <c r="O15" s="40">
        <v>8440</v>
      </c>
      <c r="P15" s="45"/>
      <c r="Q15" s="46">
        <f t="shared" si="5"/>
        <v>-8440</v>
      </c>
      <c r="R15" s="47">
        <f t="shared" si="6"/>
        <v>-1</v>
      </c>
      <c r="S15" s="521"/>
      <c r="T15" s="40">
        <v>8440</v>
      </c>
      <c r="U15" s="45"/>
      <c r="V15" s="46">
        <f t="shared" si="7"/>
        <v>-8440</v>
      </c>
      <c r="W15" s="47">
        <f t="shared" si="8"/>
        <v>-1</v>
      </c>
      <c r="X15" s="521"/>
    </row>
    <row r="16" spans="1:24" x14ac:dyDescent="0.2">
      <c r="A16" s="301">
        <v>1250</v>
      </c>
      <c r="B16" s="39" t="s">
        <v>540</v>
      </c>
      <c r="C16" s="45"/>
      <c r="D16" s="45"/>
      <c r="E16" s="45"/>
      <c r="F16" s="45"/>
      <c r="G16" s="46">
        <f t="shared" si="1"/>
        <v>0</v>
      </c>
      <c r="H16" s="47" t="str">
        <f t="shared" si="2"/>
        <v>-</v>
      </c>
      <c r="I16" s="527"/>
      <c r="J16" s="45"/>
      <c r="K16" s="45"/>
      <c r="L16" s="46">
        <f t="shared" si="3"/>
        <v>0</v>
      </c>
      <c r="M16" s="47" t="str">
        <f t="shared" si="4"/>
        <v>-</v>
      </c>
      <c r="N16" s="521"/>
      <c r="O16" s="45"/>
      <c r="P16" s="45"/>
      <c r="Q16" s="46">
        <f t="shared" si="5"/>
        <v>0</v>
      </c>
      <c r="R16" s="47" t="str">
        <f t="shared" si="6"/>
        <v>-</v>
      </c>
      <c r="S16" s="521"/>
      <c r="T16" s="45"/>
      <c r="U16" s="45"/>
      <c r="V16" s="46">
        <f t="shared" si="7"/>
        <v>0</v>
      </c>
      <c r="W16" s="47" t="str">
        <f t="shared" si="8"/>
        <v>-</v>
      </c>
      <c r="X16" s="521"/>
    </row>
    <row r="17" spans="1:24" x14ac:dyDescent="0.2">
      <c r="A17" s="301">
        <v>1260</v>
      </c>
      <c r="B17" s="39" t="s">
        <v>541</v>
      </c>
      <c r="C17" s="45"/>
      <c r="D17" s="45"/>
      <c r="E17" s="45"/>
      <c r="F17" s="45"/>
      <c r="G17" s="46">
        <f t="shared" si="1"/>
        <v>0</v>
      </c>
      <c r="H17" s="47" t="str">
        <f t="shared" si="2"/>
        <v>-</v>
      </c>
      <c r="I17" s="527"/>
      <c r="J17" s="45"/>
      <c r="K17" s="45"/>
      <c r="L17" s="46">
        <f t="shared" si="3"/>
        <v>0</v>
      </c>
      <c r="M17" s="47" t="str">
        <f t="shared" si="4"/>
        <v>-</v>
      </c>
      <c r="N17" s="521"/>
      <c r="O17" s="45"/>
      <c r="P17" s="45"/>
      <c r="Q17" s="46">
        <f t="shared" si="5"/>
        <v>0</v>
      </c>
      <c r="R17" s="47" t="str">
        <f t="shared" si="6"/>
        <v>-</v>
      </c>
      <c r="S17" s="521"/>
      <c r="T17" s="45"/>
      <c r="U17" s="45"/>
      <c r="V17" s="46">
        <f t="shared" si="7"/>
        <v>0</v>
      </c>
      <c r="W17" s="47" t="str">
        <f t="shared" si="8"/>
        <v>-</v>
      </c>
      <c r="X17" s="521"/>
    </row>
    <row r="18" spans="1:24" x14ac:dyDescent="0.2">
      <c r="A18" s="301">
        <v>1270</v>
      </c>
      <c r="B18" s="39" t="s">
        <v>425</v>
      </c>
      <c r="C18" s="45"/>
      <c r="D18" s="45"/>
      <c r="E18" s="45"/>
      <c r="F18" s="45"/>
      <c r="G18" s="46">
        <f t="shared" si="1"/>
        <v>0</v>
      </c>
      <c r="H18" s="47" t="str">
        <f t="shared" si="2"/>
        <v>-</v>
      </c>
      <c r="I18" s="527"/>
      <c r="J18" s="45"/>
      <c r="K18" s="45"/>
      <c r="L18" s="46">
        <f t="shared" si="3"/>
        <v>0</v>
      </c>
      <c r="M18" s="47" t="str">
        <f t="shared" si="4"/>
        <v>-</v>
      </c>
      <c r="N18" s="521"/>
      <c r="O18" s="45"/>
      <c r="P18" s="45"/>
      <c r="Q18" s="46">
        <f t="shared" si="5"/>
        <v>0</v>
      </c>
      <c r="R18" s="47" t="str">
        <f t="shared" si="6"/>
        <v>-</v>
      </c>
      <c r="S18" s="521"/>
      <c r="T18" s="45"/>
      <c r="U18" s="45"/>
      <c r="V18" s="46">
        <f t="shared" si="7"/>
        <v>0</v>
      </c>
      <c r="W18" s="47" t="str">
        <f t="shared" si="8"/>
        <v>-</v>
      </c>
      <c r="X18" s="521"/>
    </row>
    <row r="19" spans="1:24" x14ac:dyDescent="0.2">
      <c r="A19" s="301">
        <v>1280</v>
      </c>
      <c r="B19" s="39" t="s">
        <v>319</v>
      </c>
      <c r="C19" s="45"/>
      <c r="D19" s="45"/>
      <c r="E19" s="45"/>
      <c r="F19" s="45"/>
      <c r="G19" s="46">
        <f t="shared" si="1"/>
        <v>0</v>
      </c>
      <c r="H19" s="47" t="str">
        <f t="shared" si="2"/>
        <v>-</v>
      </c>
      <c r="I19" s="527"/>
      <c r="J19" s="45"/>
      <c r="K19" s="45"/>
      <c r="L19" s="46">
        <f t="shared" si="3"/>
        <v>0</v>
      </c>
      <c r="M19" s="47" t="str">
        <f t="shared" si="4"/>
        <v>-</v>
      </c>
      <c r="N19" s="521"/>
      <c r="O19" s="45"/>
      <c r="P19" s="45"/>
      <c r="Q19" s="46">
        <f t="shared" si="5"/>
        <v>0</v>
      </c>
      <c r="R19" s="47" t="str">
        <f t="shared" si="6"/>
        <v>-</v>
      </c>
      <c r="S19" s="521"/>
      <c r="T19" s="45"/>
      <c r="U19" s="45"/>
      <c r="V19" s="46">
        <f t="shared" si="7"/>
        <v>0</v>
      </c>
      <c r="W19" s="47" t="str">
        <f t="shared" si="8"/>
        <v>-</v>
      </c>
      <c r="X19" s="521"/>
    </row>
    <row r="20" spans="1:24" ht="31.5" x14ac:dyDescent="0.2">
      <c r="A20" s="301">
        <v>1290</v>
      </c>
      <c r="B20" s="39" t="s">
        <v>542</v>
      </c>
      <c r="C20" s="45"/>
      <c r="D20" s="45"/>
      <c r="E20" s="45"/>
      <c r="F20" s="45"/>
      <c r="G20" s="46">
        <f t="shared" si="1"/>
        <v>0</v>
      </c>
      <c r="H20" s="47" t="str">
        <f t="shared" si="2"/>
        <v>-</v>
      </c>
      <c r="I20" s="527"/>
      <c r="J20" s="45"/>
      <c r="K20" s="45"/>
      <c r="L20" s="46">
        <f t="shared" si="3"/>
        <v>0</v>
      </c>
      <c r="M20" s="47" t="str">
        <f t="shared" si="4"/>
        <v>-</v>
      </c>
      <c r="N20" s="521"/>
      <c r="O20" s="45"/>
      <c r="P20" s="45"/>
      <c r="Q20" s="46">
        <f t="shared" si="5"/>
        <v>0</v>
      </c>
      <c r="R20" s="47" t="str">
        <f t="shared" si="6"/>
        <v>-</v>
      </c>
      <c r="S20" s="521"/>
      <c r="T20" s="45"/>
      <c r="U20" s="45"/>
      <c r="V20" s="46">
        <f t="shared" si="7"/>
        <v>0</v>
      </c>
      <c r="W20" s="47" t="str">
        <f t="shared" si="8"/>
        <v>-</v>
      </c>
      <c r="X20" s="521"/>
    </row>
    <row r="21" spans="1:24" s="359" customFormat="1" ht="15.6" customHeight="1" x14ac:dyDescent="0.2">
      <c r="A21" s="190">
        <v>1300</v>
      </c>
      <c r="B21" s="57" t="s">
        <v>320</v>
      </c>
      <c r="C21" s="36">
        <v>0</v>
      </c>
      <c r="D21" s="36">
        <v>0</v>
      </c>
      <c r="E21" s="36">
        <v>0</v>
      </c>
      <c r="F21" s="36">
        <v>0</v>
      </c>
      <c r="G21" s="37">
        <v>0</v>
      </c>
      <c r="H21" s="370" t="str">
        <f t="shared" si="2"/>
        <v>-</v>
      </c>
      <c r="I21" s="18"/>
      <c r="J21" s="371">
        <v>0</v>
      </c>
      <c r="K21" s="36">
        <v>0</v>
      </c>
      <c r="L21" s="37">
        <v>0</v>
      </c>
      <c r="M21" s="30" t="str">
        <f t="shared" si="4"/>
        <v>-</v>
      </c>
      <c r="N21" s="373"/>
      <c r="O21" s="36">
        <v>0</v>
      </c>
      <c r="P21" s="36">
        <v>0</v>
      </c>
      <c r="Q21" s="37">
        <f>P21-O21</f>
        <v>0</v>
      </c>
      <c r="R21" s="30" t="str">
        <f t="shared" si="6"/>
        <v>-</v>
      </c>
      <c r="S21" s="373"/>
      <c r="T21" s="36">
        <v>0</v>
      </c>
      <c r="U21" s="36">
        <v>0</v>
      </c>
      <c r="V21" s="37">
        <f t="shared" si="7"/>
        <v>0</v>
      </c>
      <c r="W21" s="30" t="str">
        <f t="shared" si="8"/>
        <v>-</v>
      </c>
      <c r="X21" s="191"/>
    </row>
    <row r="22" spans="1:24" s="360" customFormat="1" ht="15.95" customHeight="1" x14ac:dyDescent="0.2">
      <c r="A22" s="126">
        <v>1400</v>
      </c>
      <c r="B22" s="57" t="s">
        <v>543</v>
      </c>
      <c r="C22" s="60">
        <v>0</v>
      </c>
      <c r="D22" s="60">
        <v>0</v>
      </c>
      <c r="E22" s="60">
        <v>0</v>
      </c>
      <c r="F22" s="60">
        <v>0</v>
      </c>
      <c r="G22" s="351">
        <f t="shared" ref="G22:G47" si="17">F22-E22</f>
        <v>0</v>
      </c>
      <c r="H22" s="370" t="str">
        <f t="shared" si="2"/>
        <v>-</v>
      </c>
      <c r="I22" s="374"/>
      <c r="J22" s="372">
        <v>0</v>
      </c>
      <c r="K22" s="60">
        <v>0</v>
      </c>
      <c r="L22" s="37">
        <v>0</v>
      </c>
      <c r="M22" s="30" t="str">
        <f t="shared" si="4"/>
        <v>-</v>
      </c>
      <c r="N22" s="191"/>
      <c r="O22" s="60">
        <v>0</v>
      </c>
      <c r="P22" s="60">
        <v>0</v>
      </c>
      <c r="Q22" s="37">
        <f t="shared" ref="Q22:Q43" si="18">P22-O22</f>
        <v>0</v>
      </c>
      <c r="R22" s="30" t="str">
        <f t="shared" si="6"/>
        <v>-</v>
      </c>
      <c r="S22" s="191"/>
      <c r="T22" s="60">
        <v>0</v>
      </c>
      <c r="U22" s="60">
        <v>0</v>
      </c>
      <c r="V22" s="37">
        <f t="shared" si="7"/>
        <v>0</v>
      </c>
      <c r="W22" s="30" t="str">
        <f t="shared" si="8"/>
        <v>-</v>
      </c>
      <c r="X22" s="191"/>
    </row>
    <row r="23" spans="1:24" s="360" customFormat="1" ht="15.95" customHeight="1" x14ac:dyDescent="0.2">
      <c r="A23" s="126">
        <v>1500</v>
      </c>
      <c r="B23" s="57" t="s">
        <v>544</v>
      </c>
      <c r="C23" s="60">
        <v>0</v>
      </c>
      <c r="D23" s="60">
        <v>0</v>
      </c>
      <c r="E23" s="60">
        <v>0</v>
      </c>
      <c r="F23" s="60">
        <v>0</v>
      </c>
      <c r="G23" s="351">
        <f t="shared" si="17"/>
        <v>0</v>
      </c>
      <c r="H23" s="30" t="str">
        <f t="shared" si="2"/>
        <v>-</v>
      </c>
      <c r="I23" s="450"/>
      <c r="J23" s="60">
        <v>0</v>
      </c>
      <c r="K23" s="60">
        <v>0</v>
      </c>
      <c r="L23" s="37">
        <v>0</v>
      </c>
      <c r="M23" s="30" t="str">
        <f t="shared" si="4"/>
        <v>-</v>
      </c>
      <c r="N23" s="352"/>
      <c r="O23" s="60">
        <v>0</v>
      </c>
      <c r="P23" s="60">
        <v>0</v>
      </c>
      <c r="Q23" s="37">
        <f t="shared" si="18"/>
        <v>0</v>
      </c>
      <c r="R23" s="30" t="str">
        <f t="shared" si="6"/>
        <v>-</v>
      </c>
      <c r="S23" s="191"/>
      <c r="T23" s="60">
        <v>0</v>
      </c>
      <c r="U23" s="60">
        <v>0</v>
      </c>
      <c r="V23" s="37">
        <f t="shared" si="7"/>
        <v>0</v>
      </c>
      <c r="W23" s="30" t="str">
        <f t="shared" si="8"/>
        <v>-</v>
      </c>
      <c r="X23" s="191"/>
    </row>
    <row r="24" spans="1:24" s="360" customFormat="1" ht="31.5" customHeight="1" x14ac:dyDescent="0.2">
      <c r="A24" s="126">
        <v>1600</v>
      </c>
      <c r="B24" s="57" t="s">
        <v>545</v>
      </c>
      <c r="C24" s="60">
        <v>0</v>
      </c>
      <c r="D24" s="60">
        <v>0</v>
      </c>
      <c r="E24" s="60">
        <v>0</v>
      </c>
      <c r="F24" s="60">
        <v>0</v>
      </c>
      <c r="G24" s="351">
        <f t="shared" si="17"/>
        <v>0</v>
      </c>
      <c r="H24" s="30" t="str">
        <f t="shared" si="2"/>
        <v>-</v>
      </c>
      <c r="I24" s="450"/>
      <c r="J24" s="60">
        <v>0</v>
      </c>
      <c r="K24" s="60">
        <v>0</v>
      </c>
      <c r="L24" s="37">
        <v>0</v>
      </c>
      <c r="M24" s="30" t="str">
        <f t="shared" si="4"/>
        <v>-</v>
      </c>
      <c r="N24" s="352"/>
      <c r="O24" s="60">
        <v>0</v>
      </c>
      <c r="P24" s="60">
        <v>0</v>
      </c>
      <c r="Q24" s="37">
        <f t="shared" si="18"/>
        <v>0</v>
      </c>
      <c r="R24" s="30" t="str">
        <f t="shared" si="6"/>
        <v>-</v>
      </c>
      <c r="S24" s="191"/>
      <c r="T24" s="60">
        <v>0</v>
      </c>
      <c r="U24" s="60">
        <v>0</v>
      </c>
      <c r="V24" s="37">
        <f t="shared" si="7"/>
        <v>0</v>
      </c>
      <c r="W24" s="30" t="str">
        <f t="shared" si="8"/>
        <v>-</v>
      </c>
      <c r="X24" s="191"/>
    </row>
    <row r="25" spans="1:24" s="33" customFormat="1" x14ac:dyDescent="0.2">
      <c r="A25" s="362">
        <v>2000</v>
      </c>
      <c r="B25" s="331" t="s">
        <v>321</v>
      </c>
      <c r="C25" s="345">
        <f>C26+C36+C44+C45+C46</f>
        <v>2582832</v>
      </c>
      <c r="D25" s="345">
        <f>D26+D36+D44+D46</f>
        <v>2598283</v>
      </c>
      <c r="E25" s="345">
        <f>E26+E36+E44+E46</f>
        <v>2688162</v>
      </c>
      <c r="F25" s="345">
        <f>F26+F36+F44+F45+F46</f>
        <v>0</v>
      </c>
      <c r="G25" s="346">
        <f t="shared" si="17"/>
        <v>-2688162</v>
      </c>
      <c r="H25" s="347">
        <f t="shared" si="2"/>
        <v>-1</v>
      </c>
      <c r="I25" s="482"/>
      <c r="J25" s="345">
        <f>J26+J36+J44+J46</f>
        <v>2643880</v>
      </c>
      <c r="K25" s="345">
        <f>K26+K36</f>
        <v>0</v>
      </c>
      <c r="L25" s="346">
        <f t="shared" ref="L25:L47" si="19">K25-J25</f>
        <v>-2643880</v>
      </c>
      <c r="M25" s="347">
        <f t="shared" si="4"/>
        <v>-1</v>
      </c>
      <c r="N25" s="348"/>
      <c r="O25" s="345">
        <f>O26+O36+O44+O46</f>
        <v>2887258</v>
      </c>
      <c r="P25" s="345">
        <f>P26+P36</f>
        <v>0</v>
      </c>
      <c r="Q25" s="346">
        <f t="shared" si="18"/>
        <v>-2887258</v>
      </c>
      <c r="R25" s="347">
        <f t="shared" si="6"/>
        <v>-1</v>
      </c>
      <c r="S25" s="348"/>
      <c r="T25" s="345">
        <f>T26+T36+T44+T46</f>
        <v>2598283</v>
      </c>
      <c r="U25" s="345">
        <f>U26+U36</f>
        <v>0</v>
      </c>
      <c r="V25" s="346">
        <f t="shared" si="7"/>
        <v>-2598283</v>
      </c>
      <c r="W25" s="347">
        <f t="shared" si="8"/>
        <v>-1</v>
      </c>
      <c r="X25" s="348"/>
    </row>
    <row r="26" spans="1:24" s="33" customFormat="1" x14ac:dyDescent="0.2">
      <c r="A26" s="190">
        <v>2100</v>
      </c>
      <c r="B26" s="57" t="s">
        <v>322</v>
      </c>
      <c r="C26" s="36">
        <f>SUM(C27:C35)</f>
        <v>457073</v>
      </c>
      <c r="D26" s="36">
        <f t="shared" ref="D26:E26" si="20">SUM(D27:D35)</f>
        <v>602000</v>
      </c>
      <c r="E26" s="36">
        <f t="shared" si="20"/>
        <v>542168</v>
      </c>
      <c r="F26" s="36">
        <f t="shared" ref="F26" si="21">SUM(F27:F34)</f>
        <v>0</v>
      </c>
      <c r="G26" s="37">
        <f t="shared" si="17"/>
        <v>-542168</v>
      </c>
      <c r="H26" s="30">
        <f t="shared" si="2"/>
        <v>-1</v>
      </c>
      <c r="I26" s="526"/>
      <c r="J26" s="36">
        <f>SUM(J27:J35)</f>
        <v>581527</v>
      </c>
      <c r="K26" s="36">
        <f>SUM(K27:K35)</f>
        <v>0</v>
      </c>
      <c r="L26" s="37">
        <f t="shared" si="19"/>
        <v>-581527</v>
      </c>
      <c r="M26" s="30">
        <f t="shared" si="4"/>
        <v>-1</v>
      </c>
      <c r="N26" s="520"/>
      <c r="O26" s="36">
        <f>SUM(O27:O35)</f>
        <v>602000</v>
      </c>
      <c r="P26" s="36">
        <f>SUM(P27:P35)</f>
        <v>0</v>
      </c>
      <c r="Q26" s="37">
        <f t="shared" si="18"/>
        <v>-602000</v>
      </c>
      <c r="R26" s="30">
        <f t="shared" si="6"/>
        <v>-1</v>
      </c>
      <c r="S26" s="520"/>
      <c r="T26" s="36">
        <f>SUM(T27:T35)</f>
        <v>602000</v>
      </c>
      <c r="U26" s="36">
        <f>SUM(U27:U35)</f>
        <v>0</v>
      </c>
      <c r="V26" s="37">
        <f t="shared" si="7"/>
        <v>-602000</v>
      </c>
      <c r="W26" s="30">
        <f t="shared" si="8"/>
        <v>-1</v>
      </c>
      <c r="X26" s="535"/>
    </row>
    <row r="27" spans="1:24" x14ac:dyDescent="0.2">
      <c r="A27" s="301">
        <v>2110</v>
      </c>
      <c r="B27" s="39" t="s">
        <v>426</v>
      </c>
      <c r="C27" s="45">
        <v>452764</v>
      </c>
      <c r="D27" s="45">
        <v>600000</v>
      </c>
      <c r="E27" s="45">
        <v>538631</v>
      </c>
      <c r="F27" s="40"/>
      <c r="G27" s="46">
        <f t="shared" si="17"/>
        <v>-538631</v>
      </c>
      <c r="H27" s="47">
        <f t="shared" si="2"/>
        <v>-1</v>
      </c>
      <c r="I27" s="527"/>
      <c r="J27" s="45">
        <v>578925</v>
      </c>
      <c r="K27" s="45"/>
      <c r="L27" s="46">
        <f t="shared" si="19"/>
        <v>-578925</v>
      </c>
      <c r="M27" s="47">
        <f t="shared" si="4"/>
        <v>-1</v>
      </c>
      <c r="N27" s="521"/>
      <c r="O27" s="45">
        <v>600000</v>
      </c>
      <c r="P27" s="45"/>
      <c r="Q27" s="46">
        <f t="shared" si="18"/>
        <v>-600000</v>
      </c>
      <c r="R27" s="47">
        <f t="shared" si="6"/>
        <v>-1</v>
      </c>
      <c r="S27" s="521"/>
      <c r="T27" s="45">
        <v>600000</v>
      </c>
      <c r="U27" s="45"/>
      <c r="V27" s="46">
        <f t="shared" si="7"/>
        <v>-600000</v>
      </c>
      <c r="W27" s="47">
        <f t="shared" si="8"/>
        <v>-1</v>
      </c>
      <c r="X27" s="535"/>
    </row>
    <row r="28" spans="1:24" x14ac:dyDescent="0.2">
      <c r="A28" s="301">
        <v>2120</v>
      </c>
      <c r="B28" s="39" t="s">
        <v>427</v>
      </c>
      <c r="C28" s="45"/>
      <c r="D28" s="45"/>
      <c r="E28" s="45"/>
      <c r="F28" s="45"/>
      <c r="G28" s="46">
        <f t="shared" si="17"/>
        <v>0</v>
      </c>
      <c r="H28" s="47" t="str">
        <f t="shared" si="2"/>
        <v>-</v>
      </c>
      <c r="I28" s="527"/>
      <c r="J28" s="45"/>
      <c r="K28" s="45"/>
      <c r="L28" s="46">
        <f t="shared" si="19"/>
        <v>0</v>
      </c>
      <c r="M28" s="47" t="str">
        <f t="shared" si="4"/>
        <v>-</v>
      </c>
      <c r="N28" s="521"/>
      <c r="O28" s="45"/>
      <c r="P28" s="45"/>
      <c r="Q28" s="46">
        <f t="shared" si="18"/>
        <v>0</v>
      </c>
      <c r="R28" s="47" t="str">
        <f t="shared" si="6"/>
        <v>-</v>
      </c>
      <c r="S28" s="521"/>
      <c r="T28" s="45"/>
      <c r="U28" s="45"/>
      <c r="V28" s="46">
        <f t="shared" si="7"/>
        <v>0</v>
      </c>
      <c r="W28" s="47" t="str">
        <f t="shared" si="8"/>
        <v>-</v>
      </c>
      <c r="X28" s="535"/>
    </row>
    <row r="29" spans="1:24" ht="31.5" x14ac:dyDescent="0.2">
      <c r="A29" s="301">
        <v>2130</v>
      </c>
      <c r="B29" s="39" t="s">
        <v>546</v>
      </c>
      <c r="C29" s="45"/>
      <c r="D29" s="45"/>
      <c r="E29" s="45"/>
      <c r="F29" s="45"/>
      <c r="G29" s="46">
        <f t="shared" si="17"/>
        <v>0</v>
      </c>
      <c r="H29" s="47" t="str">
        <f t="shared" si="2"/>
        <v>-</v>
      </c>
      <c r="I29" s="527"/>
      <c r="J29" s="45"/>
      <c r="K29" s="45"/>
      <c r="L29" s="46">
        <f t="shared" si="19"/>
        <v>0</v>
      </c>
      <c r="M29" s="47" t="str">
        <f t="shared" si="4"/>
        <v>-</v>
      </c>
      <c r="N29" s="521"/>
      <c r="O29" s="45"/>
      <c r="P29" s="45"/>
      <c r="Q29" s="46">
        <f t="shared" si="18"/>
        <v>0</v>
      </c>
      <c r="R29" s="47" t="str">
        <f t="shared" si="6"/>
        <v>-</v>
      </c>
      <c r="S29" s="521"/>
      <c r="T29" s="45"/>
      <c r="U29" s="45"/>
      <c r="V29" s="46">
        <f t="shared" si="7"/>
        <v>0</v>
      </c>
      <c r="W29" s="47" t="str">
        <f t="shared" si="8"/>
        <v>-</v>
      </c>
      <c r="X29" s="535"/>
    </row>
    <row r="30" spans="1:24" ht="15.6" customHeight="1" x14ac:dyDescent="0.2">
      <c r="A30" s="301">
        <v>2140</v>
      </c>
      <c r="B30" s="353" t="s">
        <v>547</v>
      </c>
      <c r="C30" s="45"/>
      <c r="D30" s="45"/>
      <c r="E30" s="45"/>
      <c r="F30" s="45"/>
      <c r="G30" s="46">
        <f t="shared" si="17"/>
        <v>0</v>
      </c>
      <c r="H30" s="47" t="str">
        <f t="shared" si="2"/>
        <v>-</v>
      </c>
      <c r="I30" s="527"/>
      <c r="J30" s="45"/>
      <c r="K30" s="45"/>
      <c r="L30" s="46">
        <f t="shared" si="19"/>
        <v>0</v>
      </c>
      <c r="M30" s="47" t="str">
        <f t="shared" si="4"/>
        <v>-</v>
      </c>
      <c r="N30" s="521"/>
      <c r="O30" s="45"/>
      <c r="P30" s="45"/>
      <c r="Q30" s="46">
        <f t="shared" si="18"/>
        <v>0</v>
      </c>
      <c r="R30" s="47" t="str">
        <f t="shared" si="6"/>
        <v>-</v>
      </c>
      <c r="S30" s="521"/>
      <c r="T30" s="45"/>
      <c r="U30" s="45"/>
      <c r="V30" s="46">
        <f t="shared" si="7"/>
        <v>0</v>
      </c>
      <c r="W30" s="47" t="str">
        <f t="shared" si="8"/>
        <v>-</v>
      </c>
      <c r="X30" s="535"/>
    </row>
    <row r="31" spans="1:24" ht="15.6" customHeight="1" x14ac:dyDescent="0.2">
      <c r="A31" s="301">
        <v>2150</v>
      </c>
      <c r="B31" s="353" t="s">
        <v>548</v>
      </c>
      <c r="C31" s="45"/>
      <c r="D31" s="45"/>
      <c r="E31" s="45"/>
      <c r="F31" s="45"/>
      <c r="G31" s="46">
        <f t="shared" si="17"/>
        <v>0</v>
      </c>
      <c r="H31" s="47" t="str">
        <f t="shared" si="2"/>
        <v>-</v>
      </c>
      <c r="I31" s="527"/>
      <c r="J31" s="45"/>
      <c r="K31" s="45"/>
      <c r="L31" s="46">
        <f t="shared" si="19"/>
        <v>0</v>
      </c>
      <c r="M31" s="47" t="str">
        <f t="shared" si="4"/>
        <v>-</v>
      </c>
      <c r="N31" s="521"/>
      <c r="O31" s="45"/>
      <c r="P31" s="45"/>
      <c r="Q31" s="46">
        <f t="shared" si="18"/>
        <v>0</v>
      </c>
      <c r="R31" s="47" t="str">
        <f t="shared" si="6"/>
        <v>-</v>
      </c>
      <c r="S31" s="521"/>
      <c r="T31" s="45"/>
      <c r="U31" s="45"/>
      <c r="V31" s="46">
        <f t="shared" si="7"/>
        <v>0</v>
      </c>
      <c r="W31" s="47" t="str">
        <f t="shared" si="8"/>
        <v>-</v>
      </c>
      <c r="X31" s="535"/>
    </row>
    <row r="32" spans="1:24" ht="15.6" customHeight="1" x14ac:dyDescent="0.2">
      <c r="A32" s="301">
        <v>2160</v>
      </c>
      <c r="B32" s="353" t="s">
        <v>46</v>
      </c>
      <c r="C32" s="45"/>
      <c r="D32" s="45"/>
      <c r="E32" s="45"/>
      <c r="F32" s="45"/>
      <c r="G32" s="46">
        <f t="shared" si="17"/>
        <v>0</v>
      </c>
      <c r="H32" s="47" t="str">
        <f t="shared" si="2"/>
        <v>-</v>
      </c>
      <c r="I32" s="527"/>
      <c r="J32" s="45"/>
      <c r="K32" s="45"/>
      <c r="L32" s="46">
        <f t="shared" si="19"/>
        <v>0</v>
      </c>
      <c r="M32" s="47" t="str">
        <f t="shared" si="4"/>
        <v>-</v>
      </c>
      <c r="N32" s="521"/>
      <c r="O32" s="45"/>
      <c r="P32" s="45"/>
      <c r="Q32" s="46">
        <f t="shared" si="18"/>
        <v>0</v>
      </c>
      <c r="R32" s="47" t="str">
        <f t="shared" si="6"/>
        <v>-</v>
      </c>
      <c r="S32" s="521"/>
      <c r="T32" s="45"/>
      <c r="U32" s="45"/>
      <c r="V32" s="46">
        <f t="shared" si="7"/>
        <v>0</v>
      </c>
      <c r="W32" s="47" t="str">
        <f t="shared" si="8"/>
        <v>-</v>
      </c>
      <c r="X32" s="535"/>
    </row>
    <row r="33" spans="1:24" ht="30.95" customHeight="1" x14ac:dyDescent="0.2">
      <c r="A33" s="301">
        <v>2170</v>
      </c>
      <c r="B33" s="353" t="s">
        <v>549</v>
      </c>
      <c r="C33" s="45"/>
      <c r="D33" s="45"/>
      <c r="E33" s="45"/>
      <c r="F33" s="45"/>
      <c r="G33" s="46">
        <f t="shared" si="17"/>
        <v>0</v>
      </c>
      <c r="H33" s="47" t="str">
        <f t="shared" si="2"/>
        <v>-</v>
      </c>
      <c r="I33" s="527"/>
      <c r="J33" s="45"/>
      <c r="K33" s="45"/>
      <c r="L33" s="46">
        <f t="shared" si="19"/>
        <v>0</v>
      </c>
      <c r="M33" s="47" t="str">
        <f t="shared" si="4"/>
        <v>-</v>
      </c>
      <c r="N33" s="521"/>
      <c r="O33" s="45"/>
      <c r="P33" s="45"/>
      <c r="Q33" s="46">
        <f t="shared" si="18"/>
        <v>0</v>
      </c>
      <c r="R33" s="47" t="str">
        <f t="shared" si="6"/>
        <v>-</v>
      </c>
      <c r="S33" s="521"/>
      <c r="T33" s="45"/>
      <c r="U33" s="45"/>
      <c r="V33" s="46">
        <f t="shared" si="7"/>
        <v>0</v>
      </c>
      <c r="W33" s="47" t="str">
        <f t="shared" si="8"/>
        <v>-</v>
      </c>
      <c r="X33" s="535"/>
    </row>
    <row r="34" spans="1:24" ht="31.5" x14ac:dyDescent="0.2">
      <c r="A34" s="301">
        <v>2180</v>
      </c>
      <c r="B34" s="39" t="s">
        <v>550</v>
      </c>
      <c r="C34" s="45">
        <v>4309</v>
      </c>
      <c r="D34" s="45">
        <v>2000</v>
      </c>
      <c r="E34" s="45">
        <v>3537</v>
      </c>
      <c r="F34" s="45"/>
      <c r="G34" s="46">
        <f t="shared" si="17"/>
        <v>-3537</v>
      </c>
      <c r="H34" s="47">
        <f t="shared" si="2"/>
        <v>-1</v>
      </c>
      <c r="I34" s="527"/>
      <c r="J34" s="45">
        <v>2602</v>
      </c>
      <c r="K34" s="45"/>
      <c r="L34" s="46">
        <f t="shared" si="19"/>
        <v>-2602</v>
      </c>
      <c r="M34" s="47">
        <f t="shared" si="4"/>
        <v>-1</v>
      </c>
      <c r="N34" s="521"/>
      <c r="O34" s="45">
        <v>2000</v>
      </c>
      <c r="P34" s="45"/>
      <c r="Q34" s="46">
        <f t="shared" si="18"/>
        <v>-2000</v>
      </c>
      <c r="R34" s="47">
        <f t="shared" si="6"/>
        <v>-1</v>
      </c>
      <c r="S34" s="521"/>
      <c r="T34" s="45">
        <v>2000</v>
      </c>
      <c r="U34" s="45"/>
      <c r="V34" s="46">
        <f t="shared" si="7"/>
        <v>-2000</v>
      </c>
      <c r="W34" s="47">
        <f t="shared" si="8"/>
        <v>-1</v>
      </c>
      <c r="X34" s="535"/>
    </row>
    <row r="35" spans="1:24" x14ac:dyDescent="0.2">
      <c r="A35" s="301">
        <v>2190</v>
      </c>
      <c r="B35" s="39" t="s">
        <v>551</v>
      </c>
      <c r="C35" s="45"/>
      <c r="D35" s="45"/>
      <c r="E35" s="45"/>
      <c r="F35" s="45"/>
      <c r="G35" s="46">
        <f t="shared" si="17"/>
        <v>0</v>
      </c>
      <c r="H35" s="47" t="str">
        <f t="shared" si="2"/>
        <v>-</v>
      </c>
      <c r="I35" s="528"/>
      <c r="J35" s="45"/>
      <c r="K35" s="45"/>
      <c r="L35" s="46">
        <f t="shared" si="19"/>
        <v>0</v>
      </c>
      <c r="M35" s="47" t="str">
        <f t="shared" si="4"/>
        <v>-</v>
      </c>
      <c r="N35" s="525"/>
      <c r="O35" s="45"/>
      <c r="P35" s="45"/>
      <c r="Q35" s="46">
        <f t="shared" si="18"/>
        <v>0</v>
      </c>
      <c r="R35" s="47" t="str">
        <f t="shared" si="6"/>
        <v>-</v>
      </c>
      <c r="S35" s="525"/>
      <c r="T35" s="45"/>
      <c r="U35" s="45"/>
      <c r="V35" s="46">
        <f t="shared" si="7"/>
        <v>0</v>
      </c>
      <c r="W35" s="47" t="str">
        <f t="shared" si="8"/>
        <v>-</v>
      </c>
      <c r="X35" s="535"/>
    </row>
    <row r="36" spans="1:24" s="360" customFormat="1" x14ac:dyDescent="0.2">
      <c r="A36" s="190">
        <v>2300</v>
      </c>
      <c r="B36" s="57" t="s">
        <v>552</v>
      </c>
      <c r="C36" s="60">
        <f>SUM(C37:C43)</f>
        <v>1782138</v>
      </c>
      <c r="D36" s="60">
        <f t="shared" ref="D36:E36" si="22">SUM(D37:D43)</f>
        <v>1377495</v>
      </c>
      <c r="E36" s="60">
        <f t="shared" si="22"/>
        <v>1037603</v>
      </c>
      <c r="F36" s="60">
        <f>SUM(F37:F43)</f>
        <v>0</v>
      </c>
      <c r="G36" s="351">
        <f t="shared" si="17"/>
        <v>-1037603</v>
      </c>
      <c r="H36" s="194">
        <f t="shared" si="2"/>
        <v>-1</v>
      </c>
      <c r="I36" s="374"/>
      <c r="J36" s="60">
        <f>SUM(J37:J43)</f>
        <v>1084120</v>
      </c>
      <c r="K36" s="60">
        <f>SUM(K37:K43)</f>
        <v>0</v>
      </c>
      <c r="L36" s="351">
        <f t="shared" si="19"/>
        <v>-1084120</v>
      </c>
      <c r="M36" s="194">
        <f t="shared" si="4"/>
        <v>-1</v>
      </c>
      <c r="N36" s="191"/>
      <c r="O36" s="60">
        <f>SUM(O37:O43)</f>
        <v>1756982</v>
      </c>
      <c r="P36" s="60">
        <f>SUM(P37:P43)</f>
        <v>0</v>
      </c>
      <c r="Q36" s="351">
        <f t="shared" si="18"/>
        <v>-1756982</v>
      </c>
      <c r="R36" s="194">
        <f t="shared" si="6"/>
        <v>-1</v>
      </c>
      <c r="S36" s="191"/>
      <c r="T36" s="60">
        <f>SUM(T37:T43)</f>
        <v>1377495</v>
      </c>
      <c r="U36" s="60">
        <f>SUM(U37:U43)</f>
        <v>0</v>
      </c>
      <c r="V36" s="351">
        <f t="shared" si="7"/>
        <v>-1377495</v>
      </c>
      <c r="W36" s="194">
        <f t="shared" si="8"/>
        <v>-1</v>
      </c>
      <c r="X36" s="191"/>
    </row>
    <row r="37" spans="1:24" x14ac:dyDescent="0.2">
      <c r="A37" s="301">
        <v>2310</v>
      </c>
      <c r="B37" s="39" t="s">
        <v>553</v>
      </c>
      <c r="C37" s="45">
        <v>1780722</v>
      </c>
      <c r="D37" s="45">
        <v>1376623</v>
      </c>
      <c r="E37" s="45">
        <v>1036731</v>
      </c>
      <c r="F37" s="40"/>
      <c r="G37" s="46">
        <f t="shared" si="17"/>
        <v>-1036731</v>
      </c>
      <c r="H37" s="47">
        <f t="shared" si="2"/>
        <v>-1</v>
      </c>
      <c r="I37" s="374"/>
      <c r="J37" s="45">
        <v>1083248</v>
      </c>
      <c r="K37" s="45"/>
      <c r="L37" s="46">
        <f t="shared" si="19"/>
        <v>-1083248</v>
      </c>
      <c r="M37" s="47">
        <f t="shared" si="4"/>
        <v>-1</v>
      </c>
      <c r="N37" s="374"/>
      <c r="O37" s="45">
        <f>1156110+600000</f>
        <v>1756110</v>
      </c>
      <c r="P37" s="45"/>
      <c r="Q37" s="46">
        <f t="shared" si="18"/>
        <v>-1756110</v>
      </c>
      <c r="R37" s="47">
        <f t="shared" si="6"/>
        <v>-1</v>
      </c>
      <c r="S37" s="374"/>
      <c r="T37" s="45">
        <f>1290000+70000+16623</f>
        <v>1376623</v>
      </c>
      <c r="U37" s="45"/>
      <c r="V37" s="46">
        <f t="shared" si="7"/>
        <v>-1376623</v>
      </c>
      <c r="W37" s="47">
        <f t="shared" si="8"/>
        <v>-1</v>
      </c>
      <c r="X37" s="374"/>
    </row>
    <row r="38" spans="1:24" ht="47.25" x14ac:dyDescent="0.2">
      <c r="A38" s="301">
        <v>2320</v>
      </c>
      <c r="B38" s="39" t="s">
        <v>554</v>
      </c>
      <c r="C38" s="45"/>
      <c r="D38" s="45"/>
      <c r="E38" s="45"/>
      <c r="F38" s="45"/>
      <c r="G38" s="46">
        <f t="shared" si="17"/>
        <v>0</v>
      </c>
      <c r="H38" s="47" t="str">
        <f t="shared" si="2"/>
        <v>-</v>
      </c>
      <c r="I38" s="374"/>
      <c r="J38" s="45"/>
      <c r="K38" s="45"/>
      <c r="L38" s="46">
        <f t="shared" si="19"/>
        <v>0</v>
      </c>
      <c r="M38" s="47" t="str">
        <f t="shared" si="4"/>
        <v>-</v>
      </c>
      <c r="N38" s="374"/>
      <c r="O38" s="45"/>
      <c r="P38" s="45"/>
      <c r="Q38" s="46">
        <f t="shared" si="18"/>
        <v>0</v>
      </c>
      <c r="R38" s="47" t="str">
        <f t="shared" si="6"/>
        <v>-</v>
      </c>
      <c r="S38" s="374"/>
      <c r="T38" s="45"/>
      <c r="U38" s="45"/>
      <c r="V38" s="46">
        <f t="shared" si="7"/>
        <v>0</v>
      </c>
      <c r="W38" s="47" t="str">
        <f t="shared" si="8"/>
        <v>-</v>
      </c>
      <c r="X38" s="374"/>
    </row>
    <row r="39" spans="1:24" ht="31.5" x14ac:dyDescent="0.2">
      <c r="A39" s="301">
        <v>2340</v>
      </c>
      <c r="B39" s="39" t="s">
        <v>555</v>
      </c>
      <c r="C39" s="45"/>
      <c r="D39" s="45"/>
      <c r="E39" s="45"/>
      <c r="F39" s="45"/>
      <c r="G39" s="46">
        <f t="shared" si="17"/>
        <v>0</v>
      </c>
      <c r="H39" s="47" t="str">
        <f t="shared" si="2"/>
        <v>-</v>
      </c>
      <c r="I39" s="374"/>
      <c r="J39" s="45"/>
      <c r="K39" s="45"/>
      <c r="L39" s="46">
        <f t="shared" si="19"/>
        <v>0</v>
      </c>
      <c r="M39" s="47" t="str">
        <f t="shared" si="4"/>
        <v>-</v>
      </c>
      <c r="N39" s="374"/>
      <c r="O39" s="45"/>
      <c r="P39" s="45"/>
      <c r="Q39" s="46">
        <f t="shared" si="18"/>
        <v>0</v>
      </c>
      <c r="R39" s="47" t="str">
        <f t="shared" si="6"/>
        <v>-</v>
      </c>
      <c r="S39" s="374"/>
      <c r="T39" s="45"/>
      <c r="U39" s="45"/>
      <c r="V39" s="46">
        <f t="shared" si="7"/>
        <v>0</v>
      </c>
      <c r="W39" s="47" t="str">
        <f t="shared" si="8"/>
        <v>-</v>
      </c>
      <c r="X39" s="374"/>
    </row>
    <row r="40" spans="1:24" x14ac:dyDescent="0.2">
      <c r="A40" s="301">
        <v>2360</v>
      </c>
      <c r="B40" s="39" t="s">
        <v>323</v>
      </c>
      <c r="C40" s="45">
        <v>544</v>
      </c>
      <c r="D40" s="45"/>
      <c r="E40" s="45"/>
      <c r="F40" s="45"/>
      <c r="G40" s="46">
        <f t="shared" si="17"/>
        <v>0</v>
      </c>
      <c r="H40" s="47" t="str">
        <f t="shared" si="2"/>
        <v>-</v>
      </c>
      <c r="I40" s="374"/>
      <c r="J40" s="45"/>
      <c r="K40" s="45"/>
      <c r="L40" s="46">
        <f t="shared" si="19"/>
        <v>0</v>
      </c>
      <c r="M40" s="47" t="str">
        <f t="shared" si="4"/>
        <v>-</v>
      </c>
      <c r="N40" s="374"/>
      <c r="O40" s="45"/>
      <c r="P40" s="45"/>
      <c r="Q40" s="46">
        <f t="shared" si="18"/>
        <v>0</v>
      </c>
      <c r="R40" s="47" t="str">
        <f t="shared" si="6"/>
        <v>-</v>
      </c>
      <c r="S40" s="374"/>
      <c r="T40" s="45"/>
      <c r="U40" s="45"/>
      <c r="V40" s="46">
        <f t="shared" si="7"/>
        <v>0</v>
      </c>
      <c r="W40" s="47" t="str">
        <f t="shared" si="8"/>
        <v>-</v>
      </c>
      <c r="X40" s="374"/>
    </row>
    <row r="41" spans="1:24" ht="31.5" x14ac:dyDescent="0.2">
      <c r="A41" s="301">
        <v>2370</v>
      </c>
      <c r="B41" s="39" t="s">
        <v>556</v>
      </c>
      <c r="C41" s="45"/>
      <c r="D41" s="45"/>
      <c r="E41" s="45"/>
      <c r="F41" s="45"/>
      <c r="G41" s="46">
        <f t="shared" si="17"/>
        <v>0</v>
      </c>
      <c r="H41" s="47" t="str">
        <f t="shared" si="2"/>
        <v>-</v>
      </c>
      <c r="I41" s="374"/>
      <c r="J41" s="45"/>
      <c r="K41" s="45"/>
      <c r="L41" s="46">
        <f t="shared" si="19"/>
        <v>0</v>
      </c>
      <c r="M41" s="47" t="str">
        <f t="shared" si="4"/>
        <v>-</v>
      </c>
      <c r="N41" s="374"/>
      <c r="O41" s="45"/>
      <c r="P41" s="45"/>
      <c r="Q41" s="46">
        <f t="shared" si="18"/>
        <v>0</v>
      </c>
      <c r="R41" s="47" t="str">
        <f t="shared" si="6"/>
        <v>-</v>
      </c>
      <c r="S41" s="374"/>
      <c r="T41" s="45"/>
      <c r="U41" s="45"/>
      <c r="V41" s="46">
        <f t="shared" si="7"/>
        <v>0</v>
      </c>
      <c r="W41" s="47" t="str">
        <f t="shared" si="8"/>
        <v>-</v>
      </c>
      <c r="X41" s="374"/>
    </row>
    <row r="42" spans="1:24" x14ac:dyDescent="0.2">
      <c r="A42" s="301">
        <v>2380</v>
      </c>
      <c r="B42" s="39" t="s">
        <v>557</v>
      </c>
      <c r="C42" s="45"/>
      <c r="D42" s="45"/>
      <c r="E42" s="45"/>
      <c r="F42" s="45"/>
      <c r="G42" s="46">
        <f t="shared" si="17"/>
        <v>0</v>
      </c>
      <c r="H42" s="47" t="str">
        <f t="shared" si="2"/>
        <v>-</v>
      </c>
      <c r="I42" s="374"/>
      <c r="J42" s="45"/>
      <c r="K42" s="45"/>
      <c r="L42" s="46">
        <f t="shared" si="19"/>
        <v>0</v>
      </c>
      <c r="M42" s="47" t="str">
        <f t="shared" si="4"/>
        <v>-</v>
      </c>
      <c r="N42" s="374"/>
      <c r="O42" s="45"/>
      <c r="P42" s="45"/>
      <c r="Q42" s="46">
        <f t="shared" si="18"/>
        <v>0</v>
      </c>
      <c r="R42" s="47" t="str">
        <f t="shared" si="6"/>
        <v>-</v>
      </c>
      <c r="S42" s="374"/>
      <c r="T42" s="45"/>
      <c r="U42" s="45"/>
      <c r="V42" s="46">
        <f t="shared" si="7"/>
        <v>0</v>
      </c>
      <c r="W42" s="47" t="str">
        <f t="shared" si="8"/>
        <v>-</v>
      </c>
      <c r="X42" s="374"/>
    </row>
    <row r="43" spans="1:24" x14ac:dyDescent="0.2">
      <c r="A43" s="301">
        <v>2390</v>
      </c>
      <c r="B43" s="39" t="s">
        <v>558</v>
      </c>
      <c r="C43" s="45">
        <v>872</v>
      </c>
      <c r="D43" s="45">
        <v>872</v>
      </c>
      <c r="E43" s="45">
        <v>872</v>
      </c>
      <c r="F43" s="45"/>
      <c r="G43" s="46">
        <f t="shared" si="17"/>
        <v>-872</v>
      </c>
      <c r="H43" s="47">
        <f t="shared" si="2"/>
        <v>-1</v>
      </c>
      <c r="I43" s="374"/>
      <c r="J43" s="45">
        <v>872</v>
      </c>
      <c r="K43" s="45"/>
      <c r="L43" s="46">
        <f t="shared" si="19"/>
        <v>-872</v>
      </c>
      <c r="M43" s="47">
        <f t="shared" si="4"/>
        <v>-1</v>
      </c>
      <c r="N43" s="374"/>
      <c r="O43" s="45">
        <v>872</v>
      </c>
      <c r="P43" s="45"/>
      <c r="Q43" s="46">
        <f t="shared" si="18"/>
        <v>-872</v>
      </c>
      <c r="R43" s="47">
        <f t="shared" si="6"/>
        <v>-1</v>
      </c>
      <c r="S43" s="374"/>
      <c r="T43" s="45">
        <v>872</v>
      </c>
      <c r="U43" s="45"/>
      <c r="V43" s="46">
        <f t="shared" si="7"/>
        <v>-872</v>
      </c>
      <c r="W43" s="47">
        <f t="shared" si="8"/>
        <v>-1</v>
      </c>
      <c r="X43" s="374"/>
    </row>
    <row r="44" spans="1:24" s="360" customFormat="1" ht="31.5" customHeight="1" x14ac:dyDescent="0.2">
      <c r="A44" s="190">
        <v>2400</v>
      </c>
      <c r="B44" s="57" t="s">
        <v>559</v>
      </c>
      <c r="C44" s="60">
        <v>15781</v>
      </c>
      <c r="D44" s="60">
        <v>20000</v>
      </c>
      <c r="E44" s="60">
        <v>98673</v>
      </c>
      <c r="F44" s="60"/>
      <c r="G44" s="61">
        <f t="shared" si="17"/>
        <v>-98673</v>
      </c>
      <c r="H44" s="62">
        <f t="shared" si="2"/>
        <v>-1</v>
      </c>
      <c r="I44" s="485"/>
      <c r="J44" s="60">
        <v>66307</v>
      </c>
      <c r="K44" s="60">
        <v>0</v>
      </c>
      <c r="L44" s="61">
        <f t="shared" si="19"/>
        <v>-66307</v>
      </c>
      <c r="M44" s="62">
        <f t="shared" si="4"/>
        <v>-1</v>
      </c>
      <c r="N44" s="191"/>
      <c r="O44" s="60">
        <v>66000</v>
      </c>
      <c r="P44" s="60"/>
      <c r="Q44" s="61"/>
      <c r="R44" s="62"/>
      <c r="S44" s="191"/>
      <c r="T44" s="60">
        <v>20000</v>
      </c>
      <c r="U44" s="60"/>
      <c r="V44" s="61">
        <f t="shared" si="7"/>
        <v>-20000</v>
      </c>
      <c r="W44" s="62">
        <f t="shared" si="8"/>
        <v>-1</v>
      </c>
      <c r="X44" s="191"/>
    </row>
    <row r="45" spans="1:24" s="360" customFormat="1" x14ac:dyDescent="0.2">
      <c r="A45" s="190">
        <v>2500</v>
      </c>
      <c r="B45" s="57" t="s">
        <v>428</v>
      </c>
      <c r="C45" s="60">
        <v>0</v>
      </c>
      <c r="D45" s="60">
        <v>0</v>
      </c>
      <c r="E45" s="60">
        <v>0</v>
      </c>
      <c r="F45" s="60">
        <v>0</v>
      </c>
      <c r="G45" s="61">
        <f t="shared" si="17"/>
        <v>0</v>
      </c>
      <c r="H45" s="62" t="str">
        <f t="shared" si="2"/>
        <v>-</v>
      </c>
      <c r="I45" s="374"/>
      <c r="J45" s="60">
        <v>0</v>
      </c>
      <c r="K45" s="60">
        <v>0</v>
      </c>
      <c r="L45" s="61">
        <f t="shared" si="19"/>
        <v>0</v>
      </c>
      <c r="M45" s="62" t="str">
        <f t="shared" si="4"/>
        <v>-</v>
      </c>
      <c r="N45" s="191"/>
      <c r="O45" s="486"/>
      <c r="P45" s="60"/>
      <c r="Q45" s="61"/>
      <c r="R45" s="62"/>
      <c r="S45" s="191"/>
      <c r="T45" s="60"/>
      <c r="U45" s="60"/>
      <c r="V45" s="61">
        <f t="shared" si="7"/>
        <v>0</v>
      </c>
      <c r="W45" s="62" t="str">
        <f t="shared" si="8"/>
        <v>-</v>
      </c>
      <c r="X45" s="191"/>
    </row>
    <row r="46" spans="1:24" s="360" customFormat="1" x14ac:dyDescent="0.2">
      <c r="A46" s="190">
        <v>2600</v>
      </c>
      <c r="B46" s="57" t="s">
        <v>560</v>
      </c>
      <c r="C46" s="60">
        <v>327840</v>
      </c>
      <c r="D46" s="60">
        <v>598788</v>
      </c>
      <c r="E46" s="60">
        <v>1009718</v>
      </c>
      <c r="F46" s="60"/>
      <c r="G46" s="61">
        <f t="shared" si="17"/>
        <v>-1009718</v>
      </c>
      <c r="H46" s="62">
        <f t="shared" si="2"/>
        <v>-1</v>
      </c>
      <c r="I46" s="485"/>
      <c r="J46" s="60">
        <v>911926</v>
      </c>
      <c r="K46" s="60">
        <v>0</v>
      </c>
      <c r="L46" s="61">
        <f t="shared" si="19"/>
        <v>-911926</v>
      </c>
      <c r="M46" s="62">
        <f t="shared" si="4"/>
        <v>-1</v>
      </c>
      <c r="N46" s="191"/>
      <c r="O46" s="60">
        <v>462276</v>
      </c>
      <c r="P46" s="60"/>
      <c r="Q46" s="61"/>
      <c r="R46" s="62"/>
      <c r="S46" s="191"/>
      <c r="T46" s="60">
        <v>598788</v>
      </c>
      <c r="U46" s="60"/>
      <c r="V46" s="61">
        <f t="shared" si="7"/>
        <v>-598788</v>
      </c>
      <c r="W46" s="62">
        <f t="shared" si="8"/>
        <v>-1</v>
      </c>
      <c r="X46" s="191"/>
    </row>
    <row r="47" spans="1:24" s="33" customFormat="1" x14ac:dyDescent="0.2">
      <c r="A47" s="361"/>
      <c r="B47" s="354" t="s">
        <v>561</v>
      </c>
      <c r="C47" s="355">
        <f>C25+C3</f>
        <v>15708434</v>
      </c>
      <c r="D47" s="355">
        <f>D3+D25</f>
        <v>15200227</v>
      </c>
      <c r="E47" s="355">
        <f>E3+E25</f>
        <v>15687088</v>
      </c>
      <c r="F47" s="355">
        <f>F25+F3</f>
        <v>0</v>
      </c>
      <c r="G47" s="356">
        <f t="shared" si="17"/>
        <v>-15687088</v>
      </c>
      <c r="H47" s="357">
        <f t="shared" si="2"/>
        <v>-1</v>
      </c>
      <c r="I47" s="482"/>
      <c r="J47" s="355">
        <f>J3+J25</f>
        <v>15507145</v>
      </c>
      <c r="K47" s="355">
        <f>K25+K3</f>
        <v>0</v>
      </c>
      <c r="L47" s="356">
        <f t="shared" si="19"/>
        <v>-15507145</v>
      </c>
      <c r="M47" s="357">
        <f t="shared" si="4"/>
        <v>-1</v>
      </c>
      <c r="N47" s="358"/>
      <c r="O47" s="355">
        <f>O3+O25</f>
        <v>15794489</v>
      </c>
      <c r="P47" s="355">
        <f>P25+P3</f>
        <v>0</v>
      </c>
      <c r="Q47" s="356">
        <f t="shared" ref="Q47" si="23">P47-O47</f>
        <v>-15794489</v>
      </c>
      <c r="R47" s="357">
        <f t="shared" ref="R47" si="24">IFERROR(Q47/ABS(O47), "-")</f>
        <v>-1</v>
      </c>
      <c r="S47" s="358"/>
      <c r="T47" s="355">
        <f>T3+T25</f>
        <v>15200227</v>
      </c>
      <c r="U47" s="355">
        <f>U25+U3</f>
        <v>0</v>
      </c>
      <c r="V47" s="356">
        <f t="shared" si="7"/>
        <v>-15200227</v>
      </c>
      <c r="W47" s="357">
        <f t="shared" si="8"/>
        <v>-1</v>
      </c>
      <c r="X47" s="358"/>
    </row>
    <row r="48" spans="1:24" s="33" customFormat="1" ht="12" customHeight="1" x14ac:dyDescent="0.2">
      <c r="A48" s="34"/>
      <c r="B48" s="25"/>
      <c r="C48" s="25"/>
      <c r="D48" s="25"/>
      <c r="E48" s="25"/>
      <c r="F48" s="25"/>
      <c r="G48" s="26"/>
      <c r="H48" s="28"/>
      <c r="I48" s="25"/>
      <c r="J48" s="25"/>
      <c r="K48" s="25"/>
      <c r="L48" s="26"/>
      <c r="M48" s="28"/>
      <c r="N48" s="25"/>
      <c r="O48" s="481"/>
      <c r="P48" s="25"/>
      <c r="Q48" s="26"/>
      <c r="R48" s="28"/>
      <c r="S48" s="25"/>
      <c r="T48" s="481"/>
      <c r="U48" s="25"/>
      <c r="V48" s="26"/>
      <c r="W48" s="28"/>
      <c r="X48" s="25"/>
    </row>
    <row r="49" spans="1:24" s="359" customFormat="1" x14ac:dyDescent="0.2">
      <c r="A49" s="344">
        <v>3000</v>
      </c>
      <c r="B49" s="331" t="s">
        <v>302</v>
      </c>
      <c r="C49" s="345">
        <f>C50+C51+C52+C55</f>
        <v>6798923</v>
      </c>
      <c r="D49" s="345">
        <f>D50+D51+D52+D55</f>
        <v>6596448</v>
      </c>
      <c r="E49" s="345">
        <f>E50+E51+E52+E55</f>
        <v>6137608</v>
      </c>
      <c r="F49" s="345">
        <f>F50+F51+F52+F55</f>
        <v>0</v>
      </c>
      <c r="G49" s="346">
        <f>F49-E49</f>
        <v>-6137608</v>
      </c>
      <c r="H49" s="347">
        <f>IFERROR(G49/ABS(E49), "-")</f>
        <v>-1</v>
      </c>
      <c r="I49" s="487"/>
      <c r="J49" s="345">
        <f>J50+J51+J52+J55</f>
        <v>5456119</v>
      </c>
      <c r="K49" s="345">
        <f>K50+K55+K52+K590</f>
        <v>0</v>
      </c>
      <c r="L49" s="346">
        <f>K49-J49</f>
        <v>-5456119</v>
      </c>
      <c r="M49" s="347">
        <f>IFERROR(L49/ABS(J49), "-")</f>
        <v>-1</v>
      </c>
      <c r="N49" s="363"/>
      <c r="O49" s="345">
        <f>O50+O51+O52+O55</f>
        <v>6617322</v>
      </c>
      <c r="P49" s="345">
        <f>P50+P55+P52+P590</f>
        <v>0</v>
      </c>
      <c r="Q49" s="346">
        <f>P49-O49</f>
        <v>-6617322</v>
      </c>
      <c r="R49" s="347">
        <f>IFERROR(Q49/ABS(O49), "-")</f>
        <v>-1</v>
      </c>
      <c r="S49" s="363"/>
      <c r="T49" s="345">
        <f>T50+T51+T52+T55</f>
        <v>6596448</v>
      </c>
      <c r="U49" s="345">
        <f>U50+U55+U52+U590</f>
        <v>0</v>
      </c>
      <c r="V49" s="346">
        <f>U49-T49</f>
        <v>-6596448</v>
      </c>
      <c r="W49" s="347">
        <f>IFERROR(V49/ABS(T49), "-")</f>
        <v>-1</v>
      </c>
      <c r="X49" s="363"/>
    </row>
    <row r="50" spans="1:24" s="360" customFormat="1" x14ac:dyDescent="0.2">
      <c r="A50" s="35">
        <v>3100</v>
      </c>
      <c r="B50" s="57" t="s">
        <v>303</v>
      </c>
      <c r="C50" s="60">
        <v>4044523</v>
      </c>
      <c r="D50" s="60">
        <v>4044523</v>
      </c>
      <c r="E50" s="60">
        <v>4044523</v>
      </c>
      <c r="F50" s="60"/>
      <c r="G50" s="61">
        <f t="shared" ref="G50:G80" si="25">F50-E50</f>
        <v>-4044523</v>
      </c>
      <c r="H50" s="62">
        <f t="shared" ref="H50:H84" si="26">IFERROR(G50/ABS(E50), "-")</f>
        <v>-1</v>
      </c>
      <c r="I50" s="487"/>
      <c r="J50" s="60">
        <v>4044523</v>
      </c>
      <c r="K50" s="60"/>
      <c r="L50" s="61">
        <f t="shared" ref="L50:L80" si="27">K50-J50</f>
        <v>-4044523</v>
      </c>
      <c r="M50" s="62">
        <f t="shared" ref="M50:M80" si="28">IFERROR(L50/ABS(J50), "-")</f>
        <v>-1</v>
      </c>
      <c r="N50" s="38"/>
      <c r="O50" s="60">
        <v>4044523</v>
      </c>
      <c r="P50" s="60"/>
      <c r="Q50" s="61">
        <f t="shared" ref="Q50:Q80" si="29">P50-O50</f>
        <v>-4044523</v>
      </c>
      <c r="R50" s="62">
        <f t="shared" ref="R50:R80" si="30">IFERROR(Q50/ABS(O50), "-")</f>
        <v>-1</v>
      </c>
      <c r="S50" s="38"/>
      <c r="T50" s="60">
        <v>4044523</v>
      </c>
      <c r="U50" s="60"/>
      <c r="V50" s="61">
        <f t="shared" ref="V50:V80" si="31">U50-T50</f>
        <v>-4044523</v>
      </c>
      <c r="W50" s="62">
        <f t="shared" ref="W50:W80" si="32">IFERROR(V50/ABS(T50), "-")</f>
        <v>-1</v>
      </c>
      <c r="X50" s="38"/>
    </row>
    <row r="51" spans="1:24" s="360" customFormat="1" ht="31.5" x14ac:dyDescent="0.2">
      <c r="A51" s="35">
        <v>3200</v>
      </c>
      <c r="B51" s="57" t="s">
        <v>565</v>
      </c>
      <c r="C51" s="60">
        <v>2140858</v>
      </c>
      <c r="D51" s="60">
        <v>2082018</v>
      </c>
      <c r="E51" s="60">
        <v>2140858</v>
      </c>
      <c r="F51" s="60"/>
      <c r="G51" s="61">
        <v>0</v>
      </c>
      <c r="H51" s="62">
        <f t="shared" si="26"/>
        <v>0</v>
      </c>
      <c r="I51" s="488"/>
      <c r="J51" s="60">
        <v>2140858</v>
      </c>
      <c r="K51" s="60"/>
      <c r="L51" s="61">
        <f t="shared" si="27"/>
        <v>-2140858</v>
      </c>
      <c r="M51" s="62">
        <f t="shared" si="28"/>
        <v>-1</v>
      </c>
      <c r="N51" s="364"/>
      <c r="O51" s="60">
        <v>2140858</v>
      </c>
      <c r="P51" s="60"/>
      <c r="Q51" s="61">
        <f t="shared" si="29"/>
        <v>-2140858</v>
      </c>
      <c r="R51" s="62">
        <f t="shared" si="30"/>
        <v>-1</v>
      </c>
      <c r="S51" s="364"/>
      <c r="T51" s="60">
        <v>2082018</v>
      </c>
      <c r="U51" s="60"/>
      <c r="V51" s="61">
        <f t="shared" si="31"/>
        <v>-2082018</v>
      </c>
      <c r="W51" s="62">
        <f t="shared" si="32"/>
        <v>-1</v>
      </c>
      <c r="X51" s="364"/>
    </row>
    <row r="52" spans="1:24" s="360" customFormat="1" x14ac:dyDescent="0.2">
      <c r="A52" s="35">
        <v>3300</v>
      </c>
      <c r="B52" s="365" t="s">
        <v>415</v>
      </c>
      <c r="C52" s="60">
        <f>C53+C54</f>
        <v>0</v>
      </c>
      <c r="D52" s="60">
        <f t="shared" ref="D52:F52" si="33">D53+D54</f>
        <v>0</v>
      </c>
      <c r="E52" s="60">
        <f t="shared" si="33"/>
        <v>0</v>
      </c>
      <c r="F52" s="60">
        <f t="shared" si="33"/>
        <v>0</v>
      </c>
      <c r="G52" s="61">
        <f t="shared" ref="G52:G54" si="34">F52-E52</f>
        <v>0</v>
      </c>
      <c r="H52" s="62" t="str">
        <f t="shared" si="26"/>
        <v>-</v>
      </c>
      <c r="I52" s="520"/>
      <c r="J52" s="60">
        <f>J53+J54</f>
        <v>0</v>
      </c>
      <c r="K52" s="60">
        <f t="shared" ref="K52" si="35">K53+K54</f>
        <v>0</v>
      </c>
      <c r="L52" s="61">
        <f t="shared" si="27"/>
        <v>0</v>
      </c>
      <c r="M52" s="62" t="str">
        <f t="shared" si="28"/>
        <v>-</v>
      </c>
      <c r="N52" s="520"/>
      <c r="O52" s="60">
        <f>O53+O54</f>
        <v>0</v>
      </c>
      <c r="P52" s="60">
        <f t="shared" ref="P52" si="36">P53+P54</f>
        <v>0</v>
      </c>
      <c r="Q52" s="61">
        <f t="shared" si="29"/>
        <v>0</v>
      </c>
      <c r="R52" s="62" t="str">
        <f t="shared" si="30"/>
        <v>-</v>
      </c>
      <c r="S52" s="520"/>
      <c r="T52" s="60">
        <f>T53+T54</f>
        <v>0</v>
      </c>
      <c r="U52" s="60">
        <f t="shared" ref="U52" si="37">U53+U54</f>
        <v>0</v>
      </c>
      <c r="V52" s="61">
        <f t="shared" si="31"/>
        <v>0</v>
      </c>
      <c r="W52" s="62" t="str">
        <f t="shared" si="32"/>
        <v>-</v>
      </c>
      <c r="X52" s="520"/>
    </row>
    <row r="53" spans="1:24" x14ac:dyDescent="0.2">
      <c r="A53" s="301">
        <v>3320</v>
      </c>
      <c r="B53" s="43" t="s">
        <v>563</v>
      </c>
      <c r="C53" s="40"/>
      <c r="D53" s="40"/>
      <c r="E53" s="40"/>
      <c r="F53" s="40"/>
      <c r="G53" s="41">
        <f t="shared" si="34"/>
        <v>0</v>
      </c>
      <c r="H53" s="29" t="str">
        <f t="shared" si="26"/>
        <v>-</v>
      </c>
      <c r="I53" s="521"/>
      <c r="J53" s="40"/>
      <c r="K53" s="40"/>
      <c r="L53" s="41">
        <f t="shared" si="27"/>
        <v>0</v>
      </c>
      <c r="M53" s="29" t="str">
        <f t="shared" si="28"/>
        <v>-</v>
      </c>
      <c r="N53" s="521"/>
      <c r="O53" s="40"/>
      <c r="P53" s="40"/>
      <c r="Q53" s="41">
        <f t="shared" si="29"/>
        <v>0</v>
      </c>
      <c r="R53" s="29" t="str">
        <f t="shared" si="30"/>
        <v>-</v>
      </c>
      <c r="S53" s="521"/>
      <c r="T53" s="40"/>
      <c r="U53" s="40"/>
      <c r="V53" s="41">
        <f t="shared" si="31"/>
        <v>0</v>
      </c>
      <c r="W53" s="29" t="str">
        <f t="shared" si="32"/>
        <v>-</v>
      </c>
      <c r="X53" s="521"/>
    </row>
    <row r="54" spans="1:24" x14ac:dyDescent="0.2">
      <c r="A54" s="301">
        <v>3360</v>
      </c>
      <c r="B54" s="43" t="s">
        <v>564</v>
      </c>
      <c r="C54" s="40"/>
      <c r="D54" s="40"/>
      <c r="E54" s="40"/>
      <c r="F54" s="40"/>
      <c r="G54" s="41">
        <f t="shared" si="34"/>
        <v>0</v>
      </c>
      <c r="H54" s="29" t="str">
        <f t="shared" si="26"/>
        <v>-</v>
      </c>
      <c r="I54" s="521"/>
      <c r="J54" s="40"/>
      <c r="K54" s="40"/>
      <c r="L54" s="41">
        <f t="shared" si="27"/>
        <v>0</v>
      </c>
      <c r="M54" s="29" t="str">
        <f t="shared" si="28"/>
        <v>-</v>
      </c>
      <c r="N54" s="521"/>
      <c r="O54" s="40"/>
      <c r="P54" s="40"/>
      <c r="Q54" s="41">
        <f t="shared" si="29"/>
        <v>0</v>
      </c>
      <c r="R54" s="29" t="str">
        <f t="shared" si="30"/>
        <v>-</v>
      </c>
      <c r="S54" s="521"/>
      <c r="T54" s="40"/>
      <c r="U54" s="40"/>
      <c r="V54" s="41">
        <f t="shared" si="31"/>
        <v>0</v>
      </c>
      <c r="W54" s="29" t="str">
        <f t="shared" si="32"/>
        <v>-</v>
      </c>
      <c r="X54" s="521"/>
    </row>
    <row r="55" spans="1:24" s="33" customFormat="1" x14ac:dyDescent="0.2">
      <c r="A55" s="35">
        <v>3500</v>
      </c>
      <c r="B55" s="57" t="s">
        <v>304</v>
      </c>
      <c r="C55" s="36">
        <f>C56+C57</f>
        <v>613542</v>
      </c>
      <c r="D55" s="36">
        <f t="shared" ref="D55:F55" si="38">D56+D57</f>
        <v>469907</v>
      </c>
      <c r="E55" s="36">
        <f t="shared" si="38"/>
        <v>-47773</v>
      </c>
      <c r="F55" s="36">
        <f t="shared" si="38"/>
        <v>0</v>
      </c>
      <c r="G55" s="58">
        <f t="shared" si="25"/>
        <v>47773</v>
      </c>
      <c r="H55" s="59">
        <f t="shared" si="26"/>
        <v>1</v>
      </c>
      <c r="I55" s="530"/>
      <c r="J55" s="36">
        <f t="shared" ref="J55:K55" si="39">J56+J57</f>
        <v>-729262</v>
      </c>
      <c r="K55" s="56">
        <f t="shared" si="39"/>
        <v>0</v>
      </c>
      <c r="L55" s="58">
        <f t="shared" si="27"/>
        <v>729262</v>
      </c>
      <c r="M55" s="59">
        <f t="shared" si="28"/>
        <v>1</v>
      </c>
      <c r="N55" s="522"/>
      <c r="O55" s="36">
        <f t="shared" ref="O55:P55" si="40">O56+O57</f>
        <v>431941</v>
      </c>
      <c r="P55" s="56">
        <f t="shared" si="40"/>
        <v>0</v>
      </c>
      <c r="Q55" s="58">
        <f t="shared" si="29"/>
        <v>-431941</v>
      </c>
      <c r="R55" s="59">
        <f t="shared" si="30"/>
        <v>-1</v>
      </c>
      <c r="S55" s="522"/>
      <c r="T55" s="36">
        <f t="shared" ref="T55:U55" si="41">T56+T57</f>
        <v>469907</v>
      </c>
      <c r="U55" s="56">
        <f t="shared" si="41"/>
        <v>0</v>
      </c>
      <c r="V55" s="58">
        <f t="shared" si="31"/>
        <v>-469907</v>
      </c>
      <c r="W55" s="59">
        <f t="shared" si="32"/>
        <v>-1</v>
      </c>
      <c r="X55" s="522"/>
    </row>
    <row r="56" spans="1:24" ht="31.5" x14ac:dyDescent="0.2">
      <c r="A56" s="301">
        <v>3510</v>
      </c>
      <c r="B56" s="39" t="s">
        <v>416</v>
      </c>
      <c r="C56" s="40">
        <v>404452</v>
      </c>
      <c r="D56" s="40">
        <v>479724</v>
      </c>
      <c r="E56" s="40">
        <v>613542</v>
      </c>
      <c r="F56" s="40"/>
      <c r="G56" s="41">
        <f t="shared" si="25"/>
        <v>-613542</v>
      </c>
      <c r="H56" s="29">
        <f t="shared" si="26"/>
        <v>-1</v>
      </c>
      <c r="I56" s="531"/>
      <c r="J56" s="40">
        <v>479724</v>
      </c>
      <c r="K56" s="40"/>
      <c r="L56" s="41">
        <f t="shared" si="27"/>
        <v>-479724</v>
      </c>
      <c r="M56" s="29">
        <f t="shared" si="28"/>
        <v>-1</v>
      </c>
      <c r="N56" s="523"/>
      <c r="O56" s="40">
        <v>479724</v>
      </c>
      <c r="P56" s="40"/>
      <c r="Q56" s="41">
        <f t="shared" si="29"/>
        <v>-479724</v>
      </c>
      <c r="R56" s="29">
        <f t="shared" si="30"/>
        <v>-1</v>
      </c>
      <c r="S56" s="523"/>
      <c r="T56" s="40">
        <v>479724</v>
      </c>
      <c r="U56" s="40"/>
      <c r="V56" s="41">
        <f t="shared" si="31"/>
        <v>-479724</v>
      </c>
      <c r="W56" s="29">
        <f t="shared" si="32"/>
        <v>-1</v>
      </c>
      <c r="X56" s="523"/>
    </row>
    <row r="57" spans="1:24" x14ac:dyDescent="0.2">
      <c r="A57" s="301">
        <v>3520</v>
      </c>
      <c r="B57" s="39" t="s">
        <v>417</v>
      </c>
      <c r="C57" s="40">
        <v>209090</v>
      </c>
      <c r="D57" s="40">
        <v>-9817</v>
      </c>
      <c r="E57" s="40">
        <v>-661315</v>
      </c>
      <c r="F57" s="40"/>
      <c r="G57" s="41">
        <f t="shared" si="25"/>
        <v>661315</v>
      </c>
      <c r="H57" s="29">
        <f t="shared" si="26"/>
        <v>1</v>
      </c>
      <c r="I57" s="532"/>
      <c r="J57" s="40">
        <v>-1208986</v>
      </c>
      <c r="K57" s="40"/>
      <c r="L57" s="41">
        <f t="shared" si="27"/>
        <v>1208986</v>
      </c>
      <c r="M57" s="29">
        <f t="shared" si="28"/>
        <v>1</v>
      </c>
      <c r="N57" s="524"/>
      <c r="O57" s="40">
        <v>-47783</v>
      </c>
      <c r="P57" s="40"/>
      <c r="Q57" s="41">
        <f t="shared" si="29"/>
        <v>47783</v>
      </c>
      <c r="R57" s="29">
        <f t="shared" si="30"/>
        <v>1</v>
      </c>
      <c r="S57" s="524"/>
      <c r="T57" s="40">
        <v>-9817</v>
      </c>
      <c r="U57" s="40"/>
      <c r="V57" s="41">
        <f t="shared" si="31"/>
        <v>9817</v>
      </c>
      <c r="W57" s="29">
        <f t="shared" si="32"/>
        <v>1</v>
      </c>
      <c r="X57" s="524"/>
    </row>
    <row r="58" spans="1:24" x14ac:dyDescent="0.2">
      <c r="A58" s="344">
        <v>4000</v>
      </c>
      <c r="B58" s="331" t="s">
        <v>305</v>
      </c>
      <c r="C58" s="366">
        <v>214168</v>
      </c>
      <c r="D58" s="366">
        <v>220000</v>
      </c>
      <c r="E58" s="366">
        <v>214168</v>
      </c>
      <c r="F58" s="366"/>
      <c r="G58" s="367">
        <f t="shared" si="25"/>
        <v>-214168</v>
      </c>
      <c r="H58" s="368">
        <f t="shared" si="26"/>
        <v>-1</v>
      </c>
      <c r="I58" s="489"/>
      <c r="J58" s="490">
        <v>214168</v>
      </c>
      <c r="K58" s="366">
        <v>0</v>
      </c>
      <c r="L58" s="367">
        <v>0</v>
      </c>
      <c r="M58" s="368">
        <f t="shared" si="28"/>
        <v>0</v>
      </c>
      <c r="N58" s="369"/>
      <c r="O58" s="490">
        <v>214168</v>
      </c>
      <c r="P58" s="366">
        <v>0</v>
      </c>
      <c r="Q58" s="367">
        <v>0</v>
      </c>
      <c r="R58" s="368">
        <f t="shared" si="30"/>
        <v>0</v>
      </c>
      <c r="S58" s="369"/>
      <c r="T58" s="366">
        <v>220000</v>
      </c>
      <c r="U58" s="366">
        <v>0</v>
      </c>
      <c r="V58" s="367">
        <v>0</v>
      </c>
      <c r="W58" s="368">
        <f t="shared" si="32"/>
        <v>0</v>
      </c>
      <c r="X58" s="369"/>
    </row>
    <row r="59" spans="1:24" s="33" customFormat="1" x14ac:dyDescent="0.2">
      <c r="A59" s="344">
        <v>5000</v>
      </c>
      <c r="B59" s="331" t="s">
        <v>306</v>
      </c>
      <c r="C59" s="345">
        <f>C60+C70</f>
        <v>8695343</v>
      </c>
      <c r="D59" s="491">
        <f>D60+D70</f>
        <v>8383779</v>
      </c>
      <c r="E59" s="345">
        <f>E60+E70</f>
        <v>9335312</v>
      </c>
      <c r="F59" s="345">
        <f>F60+F70</f>
        <v>0</v>
      </c>
      <c r="G59" s="346">
        <f t="shared" si="25"/>
        <v>-9335312</v>
      </c>
      <c r="H59" s="347">
        <f t="shared" si="26"/>
        <v>-1</v>
      </c>
      <c r="I59" s="482"/>
      <c r="J59" s="345">
        <f>J60+J70</f>
        <v>9836858</v>
      </c>
      <c r="K59" s="345">
        <f>K60+K70</f>
        <v>0</v>
      </c>
      <c r="L59" s="346">
        <f t="shared" si="27"/>
        <v>-9836858</v>
      </c>
      <c r="M59" s="347">
        <f t="shared" si="28"/>
        <v>-1</v>
      </c>
      <c r="N59" s="348"/>
      <c r="O59" s="345">
        <f>O60+O70</f>
        <v>8962999</v>
      </c>
      <c r="P59" s="345">
        <f>P60+P70</f>
        <v>0</v>
      </c>
      <c r="Q59" s="346">
        <f t="shared" si="29"/>
        <v>-8962999</v>
      </c>
      <c r="R59" s="347">
        <f t="shared" si="30"/>
        <v>-1</v>
      </c>
      <c r="S59" s="348"/>
      <c r="T59" s="345">
        <f>T60+T70</f>
        <v>8383779</v>
      </c>
      <c r="U59" s="345">
        <f>U60+U70</f>
        <v>0</v>
      </c>
      <c r="V59" s="346">
        <f t="shared" si="31"/>
        <v>-8383779</v>
      </c>
      <c r="W59" s="347">
        <f t="shared" si="32"/>
        <v>-1</v>
      </c>
      <c r="X59" s="348"/>
    </row>
    <row r="60" spans="1:24" s="33" customFormat="1" x14ac:dyDescent="0.2">
      <c r="A60" s="35">
        <v>5100</v>
      </c>
      <c r="B60" s="57" t="s">
        <v>307</v>
      </c>
      <c r="C60" s="36">
        <f>SUM(C61:C69)</f>
        <v>5814779</v>
      </c>
      <c r="D60" s="36">
        <f>SUM(D61:D69)</f>
        <v>5509747</v>
      </c>
      <c r="E60" s="36">
        <f>SUM(E61:E69)</f>
        <v>5814779</v>
      </c>
      <c r="F60" s="36">
        <f>SUM(F61:F69)</f>
        <v>0</v>
      </c>
      <c r="G60" s="37">
        <f t="shared" si="25"/>
        <v>-5814779</v>
      </c>
      <c r="H60" s="30">
        <f t="shared" si="26"/>
        <v>-1</v>
      </c>
      <c r="I60" s="520"/>
      <c r="J60" s="36">
        <f>SUM(J61:J69)</f>
        <v>5814779</v>
      </c>
      <c r="K60" s="36">
        <f>SUM(K61:K69)</f>
        <v>0</v>
      </c>
      <c r="L60" s="37">
        <f t="shared" si="27"/>
        <v>-5814779</v>
      </c>
      <c r="M60" s="30">
        <f t="shared" si="28"/>
        <v>-1</v>
      </c>
      <c r="N60" s="520"/>
      <c r="O60" s="36">
        <f>SUM(O61:O69)</f>
        <v>5814779</v>
      </c>
      <c r="P60" s="36">
        <f>SUM(P61:P69)</f>
        <v>0</v>
      </c>
      <c r="Q60" s="37">
        <f t="shared" si="29"/>
        <v>-5814779</v>
      </c>
      <c r="R60" s="30">
        <f t="shared" si="30"/>
        <v>-1</v>
      </c>
      <c r="S60" s="520"/>
      <c r="T60" s="36">
        <f>SUM(T61:T69)</f>
        <v>5509747</v>
      </c>
      <c r="U60" s="36">
        <f>SUM(U61:U69)</f>
        <v>0</v>
      </c>
      <c r="V60" s="37">
        <f t="shared" si="31"/>
        <v>-5509747</v>
      </c>
      <c r="W60" s="30">
        <f t="shared" si="32"/>
        <v>-1</v>
      </c>
      <c r="X60" s="520"/>
    </row>
    <row r="61" spans="1:24" x14ac:dyDescent="0.2">
      <c r="A61" s="301">
        <v>5110</v>
      </c>
      <c r="B61" s="39" t="s">
        <v>308</v>
      </c>
      <c r="C61" s="45"/>
      <c r="D61" s="40"/>
      <c r="E61" s="45"/>
      <c r="F61" s="45"/>
      <c r="G61" s="46">
        <f t="shared" si="25"/>
        <v>0</v>
      </c>
      <c r="H61" s="47" t="str">
        <f t="shared" si="26"/>
        <v>-</v>
      </c>
      <c r="I61" s="521"/>
      <c r="J61" s="45"/>
      <c r="K61" s="45"/>
      <c r="L61" s="46">
        <f t="shared" si="27"/>
        <v>0</v>
      </c>
      <c r="M61" s="47" t="str">
        <f t="shared" si="28"/>
        <v>-</v>
      </c>
      <c r="N61" s="521"/>
      <c r="O61" s="45"/>
      <c r="P61" s="45"/>
      <c r="Q61" s="46">
        <f t="shared" si="29"/>
        <v>0</v>
      </c>
      <c r="R61" s="47" t="str">
        <f t="shared" si="30"/>
        <v>-</v>
      </c>
      <c r="S61" s="521"/>
      <c r="T61" s="45"/>
      <c r="U61" s="45"/>
      <c r="V61" s="46">
        <f t="shared" si="31"/>
        <v>0</v>
      </c>
      <c r="W61" s="47" t="str">
        <f t="shared" si="32"/>
        <v>-</v>
      </c>
      <c r="X61" s="521"/>
    </row>
    <row r="62" spans="1:24" x14ac:dyDescent="0.2">
      <c r="A62" s="301">
        <v>5120</v>
      </c>
      <c r="B62" s="39" t="s">
        <v>309</v>
      </c>
      <c r="C62" s="45"/>
      <c r="D62" s="40"/>
      <c r="E62" s="45"/>
      <c r="F62" s="45"/>
      <c r="G62" s="46">
        <f t="shared" si="25"/>
        <v>0</v>
      </c>
      <c r="H62" s="47" t="str">
        <f t="shared" si="26"/>
        <v>-</v>
      </c>
      <c r="I62" s="521"/>
      <c r="J62" s="45"/>
      <c r="K62" s="45"/>
      <c r="L62" s="46">
        <f t="shared" si="27"/>
        <v>0</v>
      </c>
      <c r="M62" s="47" t="str">
        <f t="shared" si="28"/>
        <v>-</v>
      </c>
      <c r="N62" s="521"/>
      <c r="O62" s="45"/>
      <c r="P62" s="45"/>
      <c r="Q62" s="46">
        <f t="shared" si="29"/>
        <v>0</v>
      </c>
      <c r="R62" s="47" t="str">
        <f t="shared" si="30"/>
        <v>-</v>
      </c>
      <c r="S62" s="521"/>
      <c r="T62" s="45"/>
      <c r="U62" s="45"/>
      <c r="V62" s="46">
        <f t="shared" si="31"/>
        <v>0</v>
      </c>
      <c r="W62" s="47" t="str">
        <f t="shared" si="32"/>
        <v>-</v>
      </c>
      <c r="X62" s="521"/>
    </row>
    <row r="63" spans="1:24" x14ac:dyDescent="0.2">
      <c r="A63" s="301">
        <v>5130</v>
      </c>
      <c r="B63" s="39" t="s">
        <v>312</v>
      </c>
      <c r="C63" s="45"/>
      <c r="D63" s="40"/>
      <c r="E63" s="45"/>
      <c r="F63" s="45"/>
      <c r="G63" s="46">
        <f t="shared" si="25"/>
        <v>0</v>
      </c>
      <c r="H63" s="47" t="str">
        <f t="shared" si="26"/>
        <v>-</v>
      </c>
      <c r="I63" s="521"/>
      <c r="J63" s="45"/>
      <c r="K63" s="45"/>
      <c r="L63" s="46">
        <f t="shared" si="27"/>
        <v>0</v>
      </c>
      <c r="M63" s="47" t="str">
        <f t="shared" si="28"/>
        <v>-</v>
      </c>
      <c r="N63" s="521"/>
      <c r="O63" s="45"/>
      <c r="P63" s="45"/>
      <c r="Q63" s="46">
        <f t="shared" si="29"/>
        <v>0</v>
      </c>
      <c r="R63" s="47" t="str">
        <f t="shared" si="30"/>
        <v>-</v>
      </c>
      <c r="S63" s="521"/>
      <c r="T63" s="45"/>
      <c r="U63" s="45"/>
      <c r="V63" s="46">
        <f t="shared" si="31"/>
        <v>0</v>
      </c>
      <c r="W63" s="47" t="str">
        <f t="shared" si="32"/>
        <v>-</v>
      </c>
      <c r="X63" s="521"/>
    </row>
    <row r="64" spans="1:24" x14ac:dyDescent="0.2">
      <c r="A64" s="301">
        <v>5140</v>
      </c>
      <c r="B64" s="39" t="s">
        <v>313</v>
      </c>
      <c r="C64" s="45">
        <v>97309</v>
      </c>
      <c r="D64" s="40">
        <v>97309</v>
      </c>
      <c r="E64" s="45">
        <v>97309</v>
      </c>
      <c r="F64" s="45"/>
      <c r="G64" s="46">
        <f t="shared" si="25"/>
        <v>-97309</v>
      </c>
      <c r="H64" s="47">
        <f t="shared" si="26"/>
        <v>-1</v>
      </c>
      <c r="I64" s="521"/>
      <c r="J64" s="45">
        <v>97309</v>
      </c>
      <c r="K64" s="45"/>
      <c r="L64" s="46">
        <f t="shared" si="27"/>
        <v>-97309</v>
      </c>
      <c r="M64" s="47">
        <f t="shared" si="28"/>
        <v>-1</v>
      </c>
      <c r="N64" s="521"/>
      <c r="O64" s="45">
        <v>97309</v>
      </c>
      <c r="P64" s="45"/>
      <c r="Q64" s="46">
        <f t="shared" si="29"/>
        <v>-97309</v>
      </c>
      <c r="R64" s="47">
        <f t="shared" si="30"/>
        <v>-1</v>
      </c>
      <c r="S64" s="521"/>
      <c r="T64" s="40">
        <v>97309</v>
      </c>
      <c r="U64" s="45"/>
      <c r="V64" s="46">
        <f t="shared" si="31"/>
        <v>-97309</v>
      </c>
      <c r="W64" s="47">
        <f t="shared" si="32"/>
        <v>-1</v>
      </c>
      <c r="X64" s="521"/>
    </row>
    <row r="65" spans="1:24" ht="31.5" x14ac:dyDescent="0.2">
      <c r="A65" s="301">
        <v>5150</v>
      </c>
      <c r="B65" s="39" t="s">
        <v>418</v>
      </c>
      <c r="C65" s="45"/>
      <c r="D65" s="40"/>
      <c r="E65" s="45"/>
      <c r="F65" s="45"/>
      <c r="G65" s="46">
        <f t="shared" si="25"/>
        <v>0</v>
      </c>
      <c r="H65" s="47" t="str">
        <f t="shared" si="26"/>
        <v>-</v>
      </c>
      <c r="I65" s="521"/>
      <c r="J65" s="45"/>
      <c r="K65" s="45"/>
      <c r="L65" s="46">
        <f t="shared" si="27"/>
        <v>0</v>
      </c>
      <c r="M65" s="47" t="str">
        <f t="shared" si="28"/>
        <v>-</v>
      </c>
      <c r="N65" s="521"/>
      <c r="O65" s="45"/>
      <c r="P65" s="45"/>
      <c r="Q65" s="46">
        <f t="shared" si="29"/>
        <v>0</v>
      </c>
      <c r="R65" s="47" t="str">
        <f t="shared" si="30"/>
        <v>-</v>
      </c>
      <c r="S65" s="521"/>
      <c r="T65" s="45"/>
      <c r="U65" s="45"/>
      <c r="V65" s="46">
        <f t="shared" si="31"/>
        <v>0</v>
      </c>
      <c r="W65" s="47" t="str">
        <f t="shared" si="32"/>
        <v>-</v>
      </c>
      <c r="X65" s="521"/>
    </row>
    <row r="66" spans="1:24" x14ac:dyDescent="0.2">
      <c r="A66" s="301">
        <v>5160</v>
      </c>
      <c r="B66" s="39" t="s">
        <v>314</v>
      </c>
      <c r="C66" s="45"/>
      <c r="D66" s="40"/>
      <c r="E66" s="45"/>
      <c r="F66" s="45"/>
      <c r="G66" s="46">
        <f t="shared" si="25"/>
        <v>0</v>
      </c>
      <c r="H66" s="47" t="str">
        <f t="shared" si="26"/>
        <v>-</v>
      </c>
      <c r="I66" s="521"/>
      <c r="J66" s="45"/>
      <c r="K66" s="45"/>
      <c r="L66" s="46">
        <f t="shared" si="27"/>
        <v>0</v>
      </c>
      <c r="M66" s="47" t="str">
        <f t="shared" si="28"/>
        <v>-</v>
      </c>
      <c r="N66" s="521"/>
      <c r="O66" s="45"/>
      <c r="P66" s="45"/>
      <c r="Q66" s="46">
        <f t="shared" si="29"/>
        <v>0</v>
      </c>
      <c r="R66" s="47" t="str">
        <f t="shared" si="30"/>
        <v>-</v>
      </c>
      <c r="S66" s="521"/>
      <c r="T66" s="45"/>
      <c r="U66" s="45"/>
      <c r="V66" s="46">
        <f t="shared" si="31"/>
        <v>0</v>
      </c>
      <c r="W66" s="47" t="str">
        <f t="shared" si="32"/>
        <v>-</v>
      </c>
      <c r="X66" s="521"/>
    </row>
    <row r="67" spans="1:24" x14ac:dyDescent="0.2">
      <c r="A67" s="301">
        <v>5170</v>
      </c>
      <c r="B67" s="39" t="s">
        <v>310</v>
      </c>
      <c r="C67" s="45">
        <v>5717470</v>
      </c>
      <c r="D67" s="40">
        <v>5412438</v>
      </c>
      <c r="E67" s="45">
        <v>5717470</v>
      </c>
      <c r="F67" s="45"/>
      <c r="G67" s="46">
        <f t="shared" si="25"/>
        <v>-5717470</v>
      </c>
      <c r="H67" s="47">
        <f t="shared" si="26"/>
        <v>-1</v>
      </c>
      <c r="I67" s="521"/>
      <c r="J67" s="45">
        <v>5717470</v>
      </c>
      <c r="K67" s="45"/>
      <c r="L67" s="46">
        <f t="shared" si="27"/>
        <v>-5717470</v>
      </c>
      <c r="M67" s="47">
        <f t="shared" si="28"/>
        <v>-1</v>
      </c>
      <c r="N67" s="521"/>
      <c r="O67" s="45">
        <v>5717470</v>
      </c>
      <c r="P67" s="45"/>
      <c r="Q67" s="46">
        <f t="shared" si="29"/>
        <v>-5717470</v>
      </c>
      <c r="R67" s="47">
        <f t="shared" si="30"/>
        <v>-1</v>
      </c>
      <c r="S67" s="521"/>
      <c r="T67" s="45">
        <v>5412438</v>
      </c>
      <c r="U67" s="45"/>
      <c r="V67" s="46">
        <f t="shared" si="31"/>
        <v>-5412438</v>
      </c>
      <c r="W67" s="47">
        <f t="shared" si="32"/>
        <v>-1</v>
      </c>
      <c r="X67" s="521"/>
    </row>
    <row r="68" spans="1:24" x14ac:dyDescent="0.2">
      <c r="A68" s="301">
        <v>5180</v>
      </c>
      <c r="B68" s="39" t="s">
        <v>315</v>
      </c>
      <c r="C68" s="45"/>
      <c r="D68" s="40"/>
      <c r="E68" s="45"/>
      <c r="F68" s="45"/>
      <c r="G68" s="46">
        <f t="shared" si="25"/>
        <v>0</v>
      </c>
      <c r="H68" s="47" t="str">
        <f t="shared" si="26"/>
        <v>-</v>
      </c>
      <c r="I68" s="521"/>
      <c r="J68" s="45"/>
      <c r="K68" s="45"/>
      <c r="L68" s="46">
        <f t="shared" si="27"/>
        <v>0</v>
      </c>
      <c r="M68" s="47" t="str">
        <f t="shared" si="28"/>
        <v>-</v>
      </c>
      <c r="N68" s="521"/>
      <c r="O68" s="45"/>
      <c r="P68" s="45"/>
      <c r="Q68" s="46">
        <f t="shared" si="29"/>
        <v>0</v>
      </c>
      <c r="R68" s="47" t="str">
        <f t="shared" si="30"/>
        <v>-</v>
      </c>
      <c r="S68" s="521"/>
      <c r="T68" s="45"/>
      <c r="U68" s="45"/>
      <c r="V68" s="46">
        <f t="shared" si="31"/>
        <v>0</v>
      </c>
      <c r="W68" s="47" t="str">
        <f t="shared" si="32"/>
        <v>-</v>
      </c>
      <c r="X68" s="521"/>
    </row>
    <row r="69" spans="1:24" x14ac:dyDescent="0.2">
      <c r="A69" s="301">
        <v>5190</v>
      </c>
      <c r="B69" s="39" t="s">
        <v>419</v>
      </c>
      <c r="C69" s="45"/>
      <c r="D69" s="40"/>
      <c r="E69" s="45"/>
      <c r="F69" s="45"/>
      <c r="G69" s="46">
        <f t="shared" si="25"/>
        <v>0</v>
      </c>
      <c r="H69" s="47" t="str">
        <f t="shared" si="26"/>
        <v>-</v>
      </c>
      <c r="I69" s="525"/>
      <c r="J69" s="45"/>
      <c r="K69" s="45"/>
      <c r="L69" s="46">
        <f t="shared" si="27"/>
        <v>0</v>
      </c>
      <c r="M69" s="47" t="str">
        <f t="shared" si="28"/>
        <v>-</v>
      </c>
      <c r="N69" s="525"/>
      <c r="O69" s="45"/>
      <c r="P69" s="45"/>
      <c r="Q69" s="46">
        <f t="shared" si="29"/>
        <v>0</v>
      </c>
      <c r="R69" s="47" t="str">
        <f t="shared" si="30"/>
        <v>-</v>
      </c>
      <c r="S69" s="525"/>
      <c r="T69" s="45"/>
      <c r="U69" s="45"/>
      <c r="V69" s="46">
        <f t="shared" si="31"/>
        <v>0</v>
      </c>
      <c r="W69" s="47" t="str">
        <f t="shared" si="32"/>
        <v>-</v>
      </c>
      <c r="X69" s="525"/>
    </row>
    <row r="70" spans="1:24" s="33" customFormat="1" ht="15.75" customHeight="1" x14ac:dyDescent="0.2">
      <c r="A70" s="35">
        <v>5200</v>
      </c>
      <c r="B70" s="57" t="s">
        <v>311</v>
      </c>
      <c r="C70" s="36">
        <f>SUM(C71:C79)</f>
        <v>2880564</v>
      </c>
      <c r="D70" s="36">
        <f>SUM(D71:D79)</f>
        <v>2874032</v>
      </c>
      <c r="E70" s="36">
        <f>SUM(E71:E79)</f>
        <v>3520533</v>
      </c>
      <c r="F70" s="36">
        <f>SUM(F71:F79)</f>
        <v>0</v>
      </c>
      <c r="G70" s="37">
        <f t="shared" si="25"/>
        <v>-3520533</v>
      </c>
      <c r="H70" s="30">
        <f t="shared" si="26"/>
        <v>-1</v>
      </c>
      <c r="I70" s="526"/>
      <c r="J70" s="36">
        <f>SUM(J71:J79)</f>
        <v>4022079</v>
      </c>
      <c r="K70" s="36">
        <f>SUM(K71:K79)</f>
        <v>0</v>
      </c>
      <c r="L70" s="37">
        <f t="shared" si="27"/>
        <v>-4022079</v>
      </c>
      <c r="M70" s="30">
        <f t="shared" si="28"/>
        <v>-1</v>
      </c>
      <c r="N70" s="520"/>
      <c r="O70" s="36">
        <f>SUM(O71:O79)</f>
        <v>3148220</v>
      </c>
      <c r="P70" s="36">
        <f>SUM(P71:P79)</f>
        <v>0</v>
      </c>
      <c r="Q70" s="37">
        <f t="shared" si="29"/>
        <v>-3148220</v>
      </c>
      <c r="R70" s="30">
        <f t="shared" si="30"/>
        <v>-1</v>
      </c>
      <c r="S70" s="520"/>
      <c r="T70" s="36">
        <f>SUM(T71:T79)</f>
        <v>2874032</v>
      </c>
      <c r="U70" s="36">
        <f>SUM(U71:U79)</f>
        <v>0</v>
      </c>
      <c r="V70" s="37">
        <f t="shared" si="31"/>
        <v>-2874032</v>
      </c>
      <c r="W70" s="30">
        <f t="shared" si="32"/>
        <v>-1</v>
      </c>
      <c r="X70" s="520"/>
    </row>
    <row r="71" spans="1:24" x14ac:dyDescent="0.2">
      <c r="A71" s="301">
        <v>5210</v>
      </c>
      <c r="B71" s="39" t="s">
        <v>308</v>
      </c>
      <c r="C71" s="40"/>
      <c r="D71" s="40"/>
      <c r="E71" s="40"/>
      <c r="F71" s="40"/>
      <c r="G71" s="41">
        <f t="shared" si="25"/>
        <v>0</v>
      </c>
      <c r="H71" s="29" t="str">
        <f t="shared" si="26"/>
        <v>-</v>
      </c>
      <c r="I71" s="527"/>
      <c r="J71" s="40"/>
      <c r="K71" s="40"/>
      <c r="L71" s="41">
        <f t="shared" si="27"/>
        <v>0</v>
      </c>
      <c r="M71" s="29" t="str">
        <f t="shared" si="28"/>
        <v>-</v>
      </c>
      <c r="N71" s="521"/>
      <c r="O71" s="40"/>
      <c r="P71" s="40"/>
      <c r="Q71" s="41">
        <f t="shared" si="29"/>
        <v>0</v>
      </c>
      <c r="R71" s="29" t="str">
        <f t="shared" si="30"/>
        <v>-</v>
      </c>
      <c r="S71" s="521"/>
      <c r="T71" s="40"/>
      <c r="U71" s="40"/>
      <c r="V71" s="41">
        <f t="shared" si="31"/>
        <v>0</v>
      </c>
      <c r="W71" s="29" t="str">
        <f t="shared" si="32"/>
        <v>-</v>
      </c>
      <c r="X71" s="521"/>
    </row>
    <row r="72" spans="1:24" x14ac:dyDescent="0.2">
      <c r="A72" s="301">
        <v>5220</v>
      </c>
      <c r="B72" s="39" t="s">
        <v>309</v>
      </c>
      <c r="C72" s="40"/>
      <c r="D72" s="40"/>
      <c r="E72" s="40"/>
      <c r="F72" s="40"/>
      <c r="G72" s="41">
        <f t="shared" si="25"/>
        <v>0</v>
      </c>
      <c r="H72" s="29" t="str">
        <f t="shared" si="26"/>
        <v>-</v>
      </c>
      <c r="I72" s="527"/>
      <c r="J72" s="40"/>
      <c r="K72" s="40"/>
      <c r="L72" s="41">
        <f t="shared" si="27"/>
        <v>0</v>
      </c>
      <c r="M72" s="29" t="str">
        <f t="shared" si="28"/>
        <v>-</v>
      </c>
      <c r="N72" s="521"/>
      <c r="O72" s="40"/>
      <c r="P72" s="40"/>
      <c r="Q72" s="41">
        <f t="shared" si="29"/>
        <v>0</v>
      </c>
      <c r="R72" s="29" t="str">
        <f t="shared" si="30"/>
        <v>-</v>
      </c>
      <c r="S72" s="521"/>
      <c r="T72" s="40"/>
      <c r="U72" s="40"/>
      <c r="V72" s="41">
        <f t="shared" si="31"/>
        <v>0</v>
      </c>
      <c r="W72" s="29" t="str">
        <f t="shared" si="32"/>
        <v>-</v>
      </c>
      <c r="X72" s="521"/>
    </row>
    <row r="73" spans="1:24" x14ac:dyDescent="0.2">
      <c r="A73" s="301">
        <v>5230</v>
      </c>
      <c r="B73" s="39" t="s">
        <v>312</v>
      </c>
      <c r="C73" s="40">
        <v>9869</v>
      </c>
      <c r="D73" s="40">
        <v>10000</v>
      </c>
      <c r="E73" s="40">
        <v>19828</v>
      </c>
      <c r="F73" s="40"/>
      <c r="G73" s="41">
        <f t="shared" si="25"/>
        <v>-19828</v>
      </c>
      <c r="H73" s="29">
        <f t="shared" si="26"/>
        <v>-1</v>
      </c>
      <c r="I73" s="527"/>
      <c r="J73" s="40">
        <v>15700</v>
      </c>
      <c r="K73" s="40"/>
      <c r="L73" s="41">
        <f t="shared" si="27"/>
        <v>-15700</v>
      </c>
      <c r="M73" s="29">
        <f t="shared" si="28"/>
        <v>-1</v>
      </c>
      <c r="N73" s="521"/>
      <c r="O73" s="40">
        <v>15000</v>
      </c>
      <c r="P73" s="40"/>
      <c r="Q73" s="41">
        <f t="shared" si="29"/>
        <v>-15000</v>
      </c>
      <c r="R73" s="29">
        <f t="shared" si="30"/>
        <v>-1</v>
      </c>
      <c r="S73" s="521"/>
      <c r="T73" s="40">
        <v>10000</v>
      </c>
      <c r="U73" s="40"/>
      <c r="V73" s="41">
        <f t="shared" si="31"/>
        <v>-10000</v>
      </c>
      <c r="W73" s="29">
        <f t="shared" si="32"/>
        <v>-1</v>
      </c>
      <c r="X73" s="521"/>
    </row>
    <row r="74" spans="1:24" x14ac:dyDescent="0.2">
      <c r="A74" s="301">
        <v>5240</v>
      </c>
      <c r="B74" s="39" t="s">
        <v>313</v>
      </c>
      <c r="C74" s="40">
        <v>1095973</v>
      </c>
      <c r="D74" s="40">
        <v>1000000</v>
      </c>
      <c r="E74" s="40">
        <f>1298234-4675</f>
        <v>1293559</v>
      </c>
      <c r="F74" s="40"/>
      <c r="G74" s="41">
        <f t="shared" si="25"/>
        <v>-1293559</v>
      </c>
      <c r="H74" s="29">
        <f t="shared" si="26"/>
        <v>-1</v>
      </c>
      <c r="I74" s="527"/>
      <c r="J74" s="40">
        <f>1841566-33960</f>
        <v>1807606</v>
      </c>
      <c r="K74" s="40"/>
      <c r="L74" s="41">
        <f t="shared" si="27"/>
        <v>-1807606</v>
      </c>
      <c r="M74" s="29">
        <f t="shared" si="28"/>
        <v>-1</v>
      </c>
      <c r="N74" s="521"/>
      <c r="O74" s="40">
        <v>1000000</v>
      </c>
      <c r="P74" s="40"/>
      <c r="Q74" s="41">
        <f t="shared" si="29"/>
        <v>-1000000</v>
      </c>
      <c r="R74" s="29">
        <f t="shared" si="30"/>
        <v>-1</v>
      </c>
      <c r="S74" s="521"/>
      <c r="T74" s="40">
        <f>1100000-100000</f>
        <v>1000000</v>
      </c>
      <c r="U74" s="40"/>
      <c r="V74" s="41">
        <f t="shared" si="31"/>
        <v>-1000000</v>
      </c>
      <c r="W74" s="29">
        <f t="shared" si="32"/>
        <v>-1</v>
      </c>
      <c r="X74" s="521"/>
    </row>
    <row r="75" spans="1:24" ht="31.5" x14ac:dyDescent="0.2">
      <c r="A75" s="301">
        <v>5250</v>
      </c>
      <c r="B75" s="39" t="s">
        <v>418</v>
      </c>
      <c r="C75" s="40">
        <v>619295</v>
      </c>
      <c r="D75" s="40">
        <v>620000</v>
      </c>
      <c r="E75" s="40">
        <v>537906</v>
      </c>
      <c r="F75" s="40"/>
      <c r="G75" s="41">
        <f t="shared" si="25"/>
        <v>-537906</v>
      </c>
      <c r="H75" s="29">
        <f t="shared" si="26"/>
        <v>-1</v>
      </c>
      <c r="I75" s="527"/>
      <c r="J75" s="40">
        <v>589464</v>
      </c>
      <c r="K75" s="40"/>
      <c r="L75" s="41">
        <f t="shared" si="27"/>
        <v>-589464</v>
      </c>
      <c r="M75" s="29">
        <f t="shared" si="28"/>
        <v>-1</v>
      </c>
      <c r="N75" s="521"/>
      <c r="O75" s="40">
        <v>600000</v>
      </c>
      <c r="P75" s="40"/>
      <c r="Q75" s="41">
        <f t="shared" si="29"/>
        <v>-600000</v>
      </c>
      <c r="R75" s="29">
        <f t="shared" si="30"/>
        <v>-1</v>
      </c>
      <c r="S75" s="521"/>
      <c r="T75" s="40">
        <v>620000</v>
      </c>
      <c r="U75" s="40"/>
      <c r="V75" s="41">
        <f t="shared" si="31"/>
        <v>-620000</v>
      </c>
      <c r="W75" s="29">
        <f t="shared" si="32"/>
        <v>-1</v>
      </c>
      <c r="X75" s="521"/>
    </row>
    <row r="76" spans="1:24" x14ac:dyDescent="0.2">
      <c r="A76" s="301">
        <v>5260</v>
      </c>
      <c r="B76" s="39" t="s">
        <v>314</v>
      </c>
      <c r="C76" s="40">
        <v>89236</v>
      </c>
      <c r="D76" s="40">
        <v>89000</v>
      </c>
      <c r="E76" s="40">
        <v>679303</v>
      </c>
      <c r="F76" s="40"/>
      <c r="G76" s="41">
        <f t="shared" si="25"/>
        <v>-679303</v>
      </c>
      <c r="H76" s="29">
        <f t="shared" si="26"/>
        <v>-1</v>
      </c>
      <c r="I76" s="527"/>
      <c r="J76" s="40">
        <v>718331</v>
      </c>
      <c r="K76" s="40"/>
      <c r="L76" s="41">
        <f t="shared" si="27"/>
        <v>-718331</v>
      </c>
      <c r="M76" s="29">
        <f t="shared" si="28"/>
        <v>-1</v>
      </c>
      <c r="N76" s="521"/>
      <c r="O76" s="40">
        <v>718500</v>
      </c>
      <c r="P76" s="40"/>
      <c r="Q76" s="41">
        <f t="shared" si="29"/>
        <v>-718500</v>
      </c>
      <c r="R76" s="29">
        <f t="shared" si="30"/>
        <v>-1</v>
      </c>
      <c r="S76" s="521"/>
      <c r="T76" s="40">
        <v>89000</v>
      </c>
      <c r="U76" s="40"/>
      <c r="V76" s="41">
        <f t="shared" si="31"/>
        <v>-89000</v>
      </c>
      <c r="W76" s="29">
        <f t="shared" si="32"/>
        <v>-1</v>
      </c>
      <c r="X76" s="521"/>
    </row>
    <row r="77" spans="1:24" x14ac:dyDescent="0.2">
      <c r="A77" s="301">
        <v>5270</v>
      </c>
      <c r="B77" s="39" t="s">
        <v>310</v>
      </c>
      <c r="C77" s="40">
        <v>305032</v>
      </c>
      <c r="D77" s="40">
        <v>305032</v>
      </c>
      <c r="E77" s="40">
        <v>228774</v>
      </c>
      <c r="F77" s="40"/>
      <c r="G77" s="41">
        <f t="shared" si="25"/>
        <v>-228774</v>
      </c>
      <c r="H77" s="29">
        <f t="shared" si="26"/>
        <v>-1</v>
      </c>
      <c r="I77" s="527"/>
      <c r="J77" s="40">
        <v>152516</v>
      </c>
      <c r="K77" s="40"/>
      <c r="L77" s="41">
        <f t="shared" si="27"/>
        <v>-152516</v>
      </c>
      <c r="M77" s="29">
        <f t="shared" si="28"/>
        <v>-1</v>
      </c>
      <c r="N77" s="521"/>
      <c r="O77" s="40">
        <v>76258</v>
      </c>
      <c r="P77" s="40"/>
      <c r="Q77" s="41">
        <f t="shared" si="29"/>
        <v>-76258</v>
      </c>
      <c r="R77" s="29">
        <f t="shared" si="30"/>
        <v>-1</v>
      </c>
      <c r="S77" s="521"/>
      <c r="T77" s="40">
        <v>305032</v>
      </c>
      <c r="U77" s="40"/>
      <c r="V77" s="41">
        <f t="shared" si="31"/>
        <v>-305032</v>
      </c>
      <c r="W77" s="29">
        <f t="shared" si="32"/>
        <v>-1</v>
      </c>
      <c r="X77" s="521"/>
    </row>
    <row r="78" spans="1:24" x14ac:dyDescent="0.2">
      <c r="A78" s="301">
        <v>5280</v>
      </c>
      <c r="B78" s="39" t="s">
        <v>315</v>
      </c>
      <c r="C78" s="40">
        <v>761159</v>
      </c>
      <c r="D78" s="40">
        <v>850000</v>
      </c>
      <c r="E78" s="40">
        <f>22701+738462</f>
        <v>761163</v>
      </c>
      <c r="F78" s="40"/>
      <c r="G78" s="41">
        <f t="shared" si="25"/>
        <v>-761163</v>
      </c>
      <c r="H78" s="29">
        <f t="shared" si="26"/>
        <v>-1</v>
      </c>
      <c r="I78" s="527"/>
      <c r="J78" s="40">
        <v>738462</v>
      </c>
      <c r="K78" s="40"/>
      <c r="L78" s="41">
        <f t="shared" si="27"/>
        <v>-738462</v>
      </c>
      <c r="M78" s="29">
        <f t="shared" si="28"/>
        <v>-1</v>
      </c>
      <c r="N78" s="521"/>
      <c r="O78" s="40">
        <v>738462</v>
      </c>
      <c r="P78" s="40"/>
      <c r="Q78" s="41">
        <f t="shared" si="29"/>
        <v>-738462</v>
      </c>
      <c r="R78" s="29">
        <f t="shared" si="30"/>
        <v>-1</v>
      </c>
      <c r="S78" s="521"/>
      <c r="T78" s="40">
        <v>850000</v>
      </c>
      <c r="U78" s="40"/>
      <c r="V78" s="41">
        <f t="shared" si="31"/>
        <v>-850000</v>
      </c>
      <c r="W78" s="29">
        <f t="shared" si="32"/>
        <v>-1</v>
      </c>
      <c r="X78" s="521"/>
    </row>
    <row r="79" spans="1:24" x14ac:dyDescent="0.2">
      <c r="A79" s="301">
        <v>5290</v>
      </c>
      <c r="B79" s="39" t="s">
        <v>419</v>
      </c>
      <c r="C79" s="40"/>
      <c r="D79" s="40"/>
      <c r="E79" s="40"/>
      <c r="F79" s="40"/>
      <c r="G79" s="41">
        <f t="shared" si="25"/>
        <v>0</v>
      </c>
      <c r="H79" s="29" t="str">
        <f t="shared" si="26"/>
        <v>-</v>
      </c>
      <c r="I79" s="528"/>
      <c r="J79" s="40"/>
      <c r="K79" s="40"/>
      <c r="L79" s="41">
        <f t="shared" si="27"/>
        <v>0</v>
      </c>
      <c r="M79" s="29" t="str">
        <f t="shared" si="28"/>
        <v>-</v>
      </c>
      <c r="N79" s="525"/>
      <c r="O79" s="40"/>
      <c r="P79" s="40"/>
      <c r="Q79" s="41">
        <f t="shared" si="29"/>
        <v>0</v>
      </c>
      <c r="R79" s="29" t="str">
        <f t="shared" si="30"/>
        <v>-</v>
      </c>
      <c r="S79" s="525"/>
      <c r="T79" s="40"/>
      <c r="U79" s="40"/>
      <c r="V79" s="41">
        <f t="shared" si="31"/>
        <v>0</v>
      </c>
      <c r="W79" s="29" t="str">
        <f t="shared" si="32"/>
        <v>-</v>
      </c>
      <c r="X79" s="525"/>
    </row>
    <row r="80" spans="1:24" s="33" customFormat="1" x14ac:dyDescent="0.2">
      <c r="A80" s="361"/>
      <c r="B80" s="354" t="s">
        <v>566</v>
      </c>
      <c r="C80" s="355">
        <f>C59+C58+C49</f>
        <v>15708434</v>
      </c>
      <c r="D80" s="355">
        <f>D59+D58+D49</f>
        <v>15200227</v>
      </c>
      <c r="E80" s="355">
        <f>E59+E58+E49</f>
        <v>15687088</v>
      </c>
      <c r="F80" s="355">
        <f>F59+F58+F49</f>
        <v>0</v>
      </c>
      <c r="G80" s="356">
        <f t="shared" si="25"/>
        <v>-15687088</v>
      </c>
      <c r="H80" s="357">
        <f t="shared" si="26"/>
        <v>-1</v>
      </c>
      <c r="I80" s="482"/>
      <c r="J80" s="355">
        <f>J59+J58+J49</f>
        <v>15507145</v>
      </c>
      <c r="K80" s="355">
        <f>K59+K58+K49</f>
        <v>0</v>
      </c>
      <c r="L80" s="356">
        <f t="shared" si="27"/>
        <v>-15507145</v>
      </c>
      <c r="M80" s="357">
        <f t="shared" si="28"/>
        <v>-1</v>
      </c>
      <c r="N80" s="358"/>
      <c r="O80" s="355">
        <f>O59+O58+O49</f>
        <v>15794489</v>
      </c>
      <c r="P80" s="355">
        <f>P59+P58+P49</f>
        <v>0</v>
      </c>
      <c r="Q80" s="356">
        <f t="shared" si="29"/>
        <v>-15794489</v>
      </c>
      <c r="R80" s="357">
        <f t="shared" si="30"/>
        <v>-1</v>
      </c>
      <c r="S80" s="358"/>
      <c r="T80" s="355">
        <f>T59+T58+T49</f>
        <v>15200227</v>
      </c>
      <c r="U80" s="355">
        <f>U59+U58+U49</f>
        <v>0</v>
      </c>
      <c r="V80" s="356">
        <f t="shared" si="31"/>
        <v>-15200227</v>
      </c>
      <c r="W80" s="357">
        <f t="shared" si="32"/>
        <v>-1</v>
      </c>
      <c r="X80" s="358"/>
    </row>
    <row r="81" spans="1:24" x14ac:dyDescent="0.2">
      <c r="A81" s="533"/>
      <c r="B81" s="534"/>
      <c r="C81" s="534"/>
      <c r="D81" s="534"/>
      <c r="E81" s="534"/>
      <c r="F81" s="534"/>
      <c r="G81" s="534"/>
      <c r="H81" s="534"/>
      <c r="I81" s="534"/>
      <c r="L81" s="42"/>
      <c r="M81" s="42"/>
      <c r="O81" s="42"/>
      <c r="Q81" s="42"/>
      <c r="R81" s="42"/>
      <c r="T81" s="42"/>
      <c r="V81" s="42"/>
      <c r="W81" s="42"/>
    </row>
    <row r="82" spans="1:24" s="33" customFormat="1" x14ac:dyDescent="0.2">
      <c r="A82" s="362" t="s">
        <v>148</v>
      </c>
      <c r="B82" s="331" t="s">
        <v>567</v>
      </c>
      <c r="C82" s="345">
        <f>SUM(C83:C84)</f>
        <v>8695343</v>
      </c>
      <c r="D82" s="345">
        <f t="shared" ref="D82:F82" si="42">SUM(D83:D84)</f>
        <v>8383779</v>
      </c>
      <c r="E82" s="345">
        <f t="shared" si="42"/>
        <v>9335312</v>
      </c>
      <c r="F82" s="345">
        <f t="shared" si="42"/>
        <v>0</v>
      </c>
      <c r="G82" s="346">
        <f t="shared" ref="G82:G84" si="43">F82-E82</f>
        <v>-9335312</v>
      </c>
      <c r="H82" s="347">
        <f t="shared" si="26"/>
        <v>-1</v>
      </c>
      <c r="I82" s="482"/>
      <c r="J82" s="345">
        <f t="shared" ref="J82:K82" si="44">SUM(J83:J84)</f>
        <v>9836858</v>
      </c>
      <c r="K82" s="345">
        <f t="shared" si="44"/>
        <v>0</v>
      </c>
      <c r="L82" s="346">
        <f t="shared" ref="L82:L84" si="45">K82-J82</f>
        <v>-9836858</v>
      </c>
      <c r="M82" s="347">
        <f t="shared" ref="M82:M84" si="46">IFERROR(L82/ABS(J82), "-")</f>
        <v>-1</v>
      </c>
      <c r="N82" s="348"/>
      <c r="O82" s="345">
        <f t="shared" ref="O82:P82" si="47">SUM(O83:O84)</f>
        <v>8962999</v>
      </c>
      <c r="P82" s="345">
        <f t="shared" si="47"/>
        <v>0</v>
      </c>
      <c r="Q82" s="346">
        <f t="shared" ref="Q82:Q84" si="48">P82-O82</f>
        <v>-8962999</v>
      </c>
      <c r="R82" s="347">
        <f t="shared" ref="R82:R84" si="49">IFERROR(Q82/ABS(O82), "-")</f>
        <v>-1</v>
      </c>
      <c r="S82" s="348"/>
      <c r="T82" s="345">
        <f t="shared" ref="T82:U82" si="50">SUM(T83:T84)</f>
        <v>8383779</v>
      </c>
      <c r="U82" s="345">
        <f t="shared" si="50"/>
        <v>0</v>
      </c>
      <c r="V82" s="346">
        <f t="shared" ref="V82:V84" si="51">U82-T82</f>
        <v>-8383779</v>
      </c>
      <c r="W82" s="347">
        <f t="shared" ref="W82:W84" si="52">IFERROR(V82/ABS(T82), "-")</f>
        <v>-1</v>
      </c>
      <c r="X82" s="348"/>
    </row>
    <row r="83" spans="1:24" s="33" customFormat="1" x14ac:dyDescent="0.2">
      <c r="A83" s="35">
        <v>5100</v>
      </c>
      <c r="B83" s="63" t="s">
        <v>324</v>
      </c>
      <c r="C83" s="36">
        <f>C60</f>
        <v>5814779</v>
      </c>
      <c r="D83" s="36">
        <f>D60</f>
        <v>5509747</v>
      </c>
      <c r="E83" s="36">
        <f>E60</f>
        <v>5814779</v>
      </c>
      <c r="F83" s="36">
        <f>F60</f>
        <v>0</v>
      </c>
      <c r="G83" s="37">
        <f t="shared" si="43"/>
        <v>-5814779</v>
      </c>
      <c r="H83" s="30">
        <f t="shared" si="26"/>
        <v>-1</v>
      </c>
      <c r="I83" s="482"/>
      <c r="J83" s="36">
        <f>J60</f>
        <v>5814779</v>
      </c>
      <c r="K83" s="36">
        <f>K60</f>
        <v>0</v>
      </c>
      <c r="L83" s="37">
        <f t="shared" si="45"/>
        <v>-5814779</v>
      </c>
      <c r="M83" s="30">
        <f t="shared" si="46"/>
        <v>-1</v>
      </c>
      <c r="N83" s="343"/>
      <c r="O83" s="36">
        <f>O60</f>
        <v>5814779</v>
      </c>
      <c r="P83" s="36">
        <f>P60</f>
        <v>0</v>
      </c>
      <c r="Q83" s="37">
        <f t="shared" si="48"/>
        <v>-5814779</v>
      </c>
      <c r="R83" s="30">
        <f t="shared" si="49"/>
        <v>-1</v>
      </c>
      <c r="S83" s="343"/>
      <c r="T83" s="36">
        <f>T60</f>
        <v>5509747</v>
      </c>
      <c r="U83" s="36">
        <f>U60</f>
        <v>0</v>
      </c>
      <c r="V83" s="37">
        <f t="shared" si="51"/>
        <v>-5509747</v>
      </c>
      <c r="W83" s="30">
        <f t="shared" si="52"/>
        <v>-1</v>
      </c>
      <c r="X83" s="343"/>
    </row>
    <row r="84" spans="1:24" s="33" customFormat="1" x14ac:dyDescent="0.2">
      <c r="A84" s="35">
        <v>5200</v>
      </c>
      <c r="B84" s="64" t="s">
        <v>325</v>
      </c>
      <c r="C84" s="36">
        <f>C70</f>
        <v>2880564</v>
      </c>
      <c r="D84" s="36">
        <f t="shared" ref="D84:F84" si="53">D70</f>
        <v>2874032</v>
      </c>
      <c r="E84" s="36">
        <f t="shared" si="53"/>
        <v>3520533</v>
      </c>
      <c r="F84" s="36">
        <f t="shared" si="53"/>
        <v>0</v>
      </c>
      <c r="G84" s="37">
        <f t="shared" si="43"/>
        <v>-3520533</v>
      </c>
      <c r="H84" s="30">
        <f t="shared" si="26"/>
        <v>-1</v>
      </c>
      <c r="I84" s="482"/>
      <c r="J84" s="36">
        <f t="shared" ref="J84:K84" si="54">J70</f>
        <v>4022079</v>
      </c>
      <c r="K84" s="36">
        <f t="shared" si="54"/>
        <v>0</v>
      </c>
      <c r="L84" s="37">
        <f t="shared" si="45"/>
        <v>-4022079</v>
      </c>
      <c r="M84" s="30">
        <f t="shared" si="46"/>
        <v>-1</v>
      </c>
      <c r="N84" s="343"/>
      <c r="O84" s="36">
        <f t="shared" ref="O84:P84" si="55">O70</f>
        <v>3148220</v>
      </c>
      <c r="P84" s="36">
        <f t="shared" si="55"/>
        <v>0</v>
      </c>
      <c r="Q84" s="37">
        <f t="shared" si="48"/>
        <v>-3148220</v>
      </c>
      <c r="R84" s="30">
        <f t="shared" si="49"/>
        <v>-1</v>
      </c>
      <c r="S84" s="343"/>
      <c r="T84" s="36">
        <f t="shared" ref="T84:U84" si="56">T70</f>
        <v>2874032</v>
      </c>
      <c r="U84" s="36">
        <f t="shared" si="56"/>
        <v>0</v>
      </c>
      <c r="V84" s="37">
        <f t="shared" si="51"/>
        <v>-2874032</v>
      </c>
      <c r="W84" s="30">
        <f t="shared" si="52"/>
        <v>-1</v>
      </c>
      <c r="X84" s="343"/>
    </row>
    <row r="85" spans="1:24" s="33" customFormat="1" x14ac:dyDescent="0.2">
      <c r="A85" s="49"/>
      <c r="B85" s="50"/>
      <c r="C85" s="51"/>
      <c r="D85" s="51"/>
      <c r="E85" s="51"/>
      <c r="F85" s="51"/>
      <c r="G85" s="52"/>
      <c r="H85" s="53"/>
      <c r="I85" s="54"/>
      <c r="J85" s="51"/>
      <c r="K85" s="51"/>
      <c r="L85" s="52"/>
      <c r="M85" s="53"/>
      <c r="N85" s="54"/>
      <c r="O85" s="492"/>
      <c r="P85" s="51"/>
      <c r="Q85" s="52"/>
      <c r="R85" s="53"/>
      <c r="S85" s="54"/>
      <c r="T85" s="51"/>
      <c r="U85" s="51"/>
      <c r="V85" s="52"/>
      <c r="W85" s="53"/>
      <c r="X85" s="54"/>
    </row>
    <row r="86" spans="1:24" x14ac:dyDescent="0.2">
      <c r="A86" s="510" t="s">
        <v>442</v>
      </c>
      <c r="B86" s="510"/>
    </row>
    <row r="87" spans="1:24" ht="21.6" customHeight="1" x14ac:dyDescent="0.2">
      <c r="A87" s="529" t="s">
        <v>446</v>
      </c>
      <c r="B87" s="529"/>
      <c r="C87" s="529"/>
      <c r="D87" s="529"/>
      <c r="E87" s="529"/>
      <c r="F87" s="529"/>
      <c r="G87" s="529"/>
      <c r="H87" s="65"/>
      <c r="I87" s="65"/>
      <c r="J87" s="65"/>
      <c r="K87" s="65"/>
      <c r="L87" s="65"/>
      <c r="M87" s="65"/>
      <c r="N87" s="65"/>
      <c r="O87" s="494"/>
    </row>
  </sheetData>
  <sheetProtection formatCells="0" formatColumns="0" formatRows="0"/>
  <mergeCells count="31">
    <mergeCell ref="N26:N35"/>
    <mergeCell ref="I26:I35"/>
    <mergeCell ref="X26:X35"/>
    <mergeCell ref="I11:I20"/>
    <mergeCell ref="N11:N20"/>
    <mergeCell ref="S11:S20"/>
    <mergeCell ref="X11:X20"/>
    <mergeCell ref="I4:I10"/>
    <mergeCell ref="N4:N10"/>
    <mergeCell ref="S4:S10"/>
    <mergeCell ref="X4:X10"/>
    <mergeCell ref="A87:G87"/>
    <mergeCell ref="A86:B86"/>
    <mergeCell ref="I55:I57"/>
    <mergeCell ref="I52:I54"/>
    <mergeCell ref="A81:I81"/>
    <mergeCell ref="I60:I69"/>
    <mergeCell ref="I70:I79"/>
    <mergeCell ref="N52:N54"/>
    <mergeCell ref="N55:N57"/>
    <mergeCell ref="N60:N69"/>
    <mergeCell ref="N70:N79"/>
    <mergeCell ref="S26:S35"/>
    <mergeCell ref="S52:S54"/>
    <mergeCell ref="S55:S57"/>
    <mergeCell ref="S60:S69"/>
    <mergeCell ref="S70:S79"/>
    <mergeCell ref="X52:X54"/>
    <mergeCell ref="X55:X57"/>
    <mergeCell ref="X60:X69"/>
    <mergeCell ref="X70:X79"/>
  </mergeCells>
  <pageMargins left="0.23622047244094491" right="0.23622047244094491" top="0.74803149606299213" bottom="0.74803149606299213" header="0.31496062992125984" footer="0.31496062992125984"/>
  <pageSetup paperSize="9" scale="26" fitToHeight="0" orientation="landscape" verticalDpi="90" r:id="rId1"/>
  <headerFooter>
    <oddHeader>&amp;C&amp;"Times New Roman,Bold"&amp;14Bilance&amp;R&amp;"Times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X57"/>
  <sheetViews>
    <sheetView view="pageBreakPreview" zoomScale="90" zoomScaleNormal="70" zoomScaleSheetLayoutView="90" zoomScalePageLayoutView="40" workbookViewId="0">
      <pane ySplit="1" topLeftCell="A32" activePane="bottomLeft" state="frozen"/>
      <selection pane="bottomLeft" activeCell="T49" sqref="T49"/>
    </sheetView>
  </sheetViews>
  <sheetFormatPr defaultColWidth="9.140625" defaultRowHeight="15.75" outlineLevelCol="1" x14ac:dyDescent="0.2"/>
  <cols>
    <col min="1" max="1" width="8.42578125" style="204" bestFit="1" customWidth="1"/>
    <col min="2" max="2" width="52" style="33" customWidth="1"/>
    <col min="3" max="3" width="18.28515625" style="33" customWidth="1"/>
    <col min="4" max="4" width="20.85546875" style="205" customWidth="1"/>
    <col min="5" max="5" width="21.42578125" style="33" customWidth="1"/>
    <col min="6" max="6" width="20.85546875" style="33" customWidth="1" outlineLevel="1"/>
    <col min="7" max="7" width="22" style="66" customWidth="1" outlineLevel="1"/>
    <col min="8" max="8" width="21.5703125" style="66" customWidth="1" outlineLevel="1"/>
    <col min="9" max="9" width="37.28515625" style="33" customWidth="1" outlineLevel="1"/>
    <col min="10" max="10" width="21.42578125" style="33" customWidth="1"/>
    <col min="11" max="11" width="20.85546875" style="33" customWidth="1" outlineLevel="1"/>
    <col min="12" max="12" width="20.85546875" style="66" customWidth="1" outlineLevel="1"/>
    <col min="13" max="13" width="21.5703125" style="66" customWidth="1" outlineLevel="1"/>
    <col min="14" max="14" width="37.28515625" style="33" customWidth="1" outlineLevel="1"/>
    <col min="15" max="15" width="21.42578125" style="33" customWidth="1"/>
    <col min="16" max="16" width="20.85546875" style="33" customWidth="1" outlineLevel="1"/>
    <col min="17" max="17" width="21.42578125" style="66" customWidth="1" outlineLevel="1"/>
    <col min="18" max="18" width="21.5703125" style="66" customWidth="1" outlineLevel="1"/>
    <col min="19" max="19" width="37.28515625" style="33" customWidth="1" outlineLevel="1"/>
    <col min="20" max="20" width="21.42578125" style="33" customWidth="1"/>
    <col min="21" max="21" width="20.85546875" style="33" customWidth="1" outlineLevel="1"/>
    <col min="22" max="22" width="20.42578125" style="66" customWidth="1" outlineLevel="1"/>
    <col min="23" max="23" width="21.5703125" style="66" customWidth="1" outlineLevel="1"/>
    <col min="24" max="24" width="37.28515625" style="33" customWidth="1" outlineLevel="1"/>
    <col min="25" max="26" width="9.140625" style="33" customWidth="1"/>
    <col min="27" max="16384" width="9.140625" style="33"/>
  </cols>
  <sheetData>
    <row r="1" spans="1:24" ht="63" x14ac:dyDescent="0.2">
      <c r="A1" s="24" t="s">
        <v>0</v>
      </c>
      <c r="B1" s="32" t="s">
        <v>511</v>
      </c>
      <c r="C1" s="25" t="s">
        <v>568</v>
      </c>
      <c r="D1" s="25" t="s">
        <v>587</v>
      </c>
      <c r="E1" s="25" t="s">
        <v>570</v>
      </c>
      <c r="F1" s="25" t="s">
        <v>582</v>
      </c>
      <c r="G1" s="26" t="s">
        <v>573</v>
      </c>
      <c r="H1" s="27" t="s">
        <v>574</v>
      </c>
      <c r="I1" s="25" t="s">
        <v>510</v>
      </c>
      <c r="J1" s="25" t="s">
        <v>571</v>
      </c>
      <c r="K1" s="25" t="s">
        <v>572</v>
      </c>
      <c r="L1" s="26" t="s">
        <v>573</v>
      </c>
      <c r="M1" s="27" t="s">
        <v>405</v>
      </c>
      <c r="N1" s="25" t="s">
        <v>510</v>
      </c>
      <c r="O1" s="25" t="s">
        <v>576</v>
      </c>
      <c r="P1" s="25" t="s">
        <v>431</v>
      </c>
      <c r="Q1" s="26" t="s">
        <v>404</v>
      </c>
      <c r="R1" s="27" t="s">
        <v>405</v>
      </c>
      <c r="S1" s="25" t="s">
        <v>510</v>
      </c>
      <c r="T1" s="25" t="s">
        <v>578</v>
      </c>
      <c r="U1" s="25" t="s">
        <v>432</v>
      </c>
      <c r="V1" s="26" t="s">
        <v>404</v>
      </c>
      <c r="W1" s="27" t="s">
        <v>405</v>
      </c>
      <c r="X1" s="25" t="s">
        <v>510</v>
      </c>
    </row>
    <row r="2" spans="1:24" ht="12" customHeight="1" x14ac:dyDescent="0.2">
      <c r="A2" s="34">
        <v>1</v>
      </c>
      <c r="B2" s="25">
        <v>2</v>
      </c>
      <c r="C2" s="25">
        <v>3</v>
      </c>
      <c r="D2" s="25">
        <v>4</v>
      </c>
      <c r="E2" s="25">
        <v>5</v>
      </c>
      <c r="F2" s="25">
        <v>6</v>
      </c>
      <c r="G2" s="26">
        <v>7</v>
      </c>
      <c r="H2" s="28" t="s">
        <v>583</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4" ht="15.6" customHeight="1" x14ac:dyDescent="0.2">
      <c r="A3" s="118">
        <v>10000</v>
      </c>
      <c r="B3" s="63" t="s">
        <v>149</v>
      </c>
      <c r="C3" s="119">
        <v>707278</v>
      </c>
      <c r="D3" s="120">
        <v>327840.4299999997</v>
      </c>
      <c r="E3" s="120">
        <v>327840.4299999997</v>
      </c>
      <c r="F3" s="121"/>
      <c r="G3" s="122">
        <f>F3-E3</f>
        <v>-327840.4299999997</v>
      </c>
      <c r="H3" s="30">
        <f>IFERROR(G3/ABS(E3), "-")</f>
        <v>-1</v>
      </c>
      <c r="I3" s="341"/>
      <c r="J3" s="121">
        <v>327840.4299999997</v>
      </c>
      <c r="K3" s="121"/>
      <c r="L3" s="122">
        <f>K3-J3</f>
        <v>-327840.4299999997</v>
      </c>
      <c r="M3" s="30">
        <f>IFERROR(L3/ABS(J3), "-")</f>
        <v>-1</v>
      </c>
      <c r="N3" s="341"/>
      <c r="O3" s="121">
        <v>327840.4299999997</v>
      </c>
      <c r="P3" s="121">
        <f>N47</f>
        <v>0</v>
      </c>
      <c r="Q3" s="122">
        <f>P3-O3</f>
        <v>-327840.4299999997</v>
      </c>
      <c r="R3" s="30">
        <f>IFERROR(Q3/ABS(O3), "-")</f>
        <v>-1</v>
      </c>
      <c r="S3" s="341"/>
      <c r="T3" s="121">
        <v>327840.4299999997</v>
      </c>
      <c r="U3" s="121">
        <f>S47</f>
        <v>0</v>
      </c>
      <c r="V3" s="122">
        <f>U3-T3</f>
        <v>-327840.4299999997</v>
      </c>
      <c r="W3" s="30">
        <f>IFERROR(V3/ABS(T3), "-")</f>
        <v>-1</v>
      </c>
      <c r="X3" s="341"/>
    </row>
    <row r="4" spans="1:24" ht="15.6" customHeight="1" x14ac:dyDescent="0.2">
      <c r="A4" s="334" t="s">
        <v>158</v>
      </c>
      <c r="B4" s="539" t="s">
        <v>150</v>
      </c>
      <c r="C4" s="539"/>
      <c r="D4" s="539"/>
      <c r="E4" s="539"/>
      <c r="F4" s="539"/>
      <c r="G4" s="539"/>
      <c r="H4" s="335"/>
      <c r="I4" s="336"/>
      <c r="J4" s="337"/>
      <c r="K4" s="337"/>
      <c r="L4" s="337"/>
      <c r="M4" s="335"/>
      <c r="N4" s="336"/>
      <c r="O4" s="337"/>
      <c r="P4" s="337"/>
      <c r="Q4" s="337"/>
      <c r="R4" s="335"/>
      <c r="S4" s="336"/>
      <c r="T4" s="337"/>
      <c r="U4" s="337"/>
      <c r="V4" s="337"/>
      <c r="W4" s="335"/>
      <c r="X4" s="336"/>
    </row>
    <row r="5" spans="1:24" ht="15.6" customHeight="1" x14ac:dyDescent="0.2">
      <c r="A5" s="118">
        <v>11000</v>
      </c>
      <c r="B5" s="63" t="s">
        <v>151</v>
      </c>
      <c r="C5" s="120">
        <f>C6+C11+C12+C13+C14+C15</f>
        <v>24163598</v>
      </c>
      <c r="D5" s="120">
        <f>D6+D11+D12+D13+D14+D15</f>
        <v>26306987</v>
      </c>
      <c r="E5" s="120">
        <f>E6+E11+E12+E13+E14+E15</f>
        <v>6766332.1500000004</v>
      </c>
      <c r="F5" s="120">
        <f>F6+F11+F12+F13+F14+F15</f>
        <v>0</v>
      </c>
      <c r="G5" s="123">
        <f t="shared" ref="G5:G19" si="0">F5-E5</f>
        <v>-6766332.1500000004</v>
      </c>
      <c r="H5" s="124">
        <f t="shared" ref="H5:H30" si="1">IFERROR(G5/ABS(E5), "-")</f>
        <v>-1</v>
      </c>
      <c r="I5" s="339"/>
      <c r="J5" s="120">
        <f>J6+J11+J12+J13+J14+J15</f>
        <v>12837651.580000002</v>
      </c>
      <c r="K5" s="120">
        <f>K6+K11+K12+K13+K14+K15</f>
        <v>0</v>
      </c>
      <c r="L5" s="123">
        <f t="shared" ref="L5:L19" si="2">K5-J5</f>
        <v>-12837651.580000002</v>
      </c>
      <c r="M5" s="124">
        <f t="shared" ref="M5:M54" si="3">IFERROR(L5/ABS(J5), "-")</f>
        <v>-1</v>
      </c>
      <c r="N5" s="339"/>
      <c r="O5" s="120">
        <f>O6+O11+O12+O13+O14+O15</f>
        <v>19078924</v>
      </c>
      <c r="P5" s="120">
        <f>P6+P11+P12+P13+P14+P15</f>
        <v>0</v>
      </c>
      <c r="Q5" s="123">
        <f t="shared" ref="Q5:Q19" si="4">P5-O5</f>
        <v>-19078924</v>
      </c>
      <c r="R5" s="124">
        <f t="shared" ref="R5:R54" si="5">IFERROR(Q5/ABS(O5), "-")</f>
        <v>-1</v>
      </c>
      <c r="S5" s="339"/>
      <c r="T5" s="120">
        <f>T6+T11+T12+T13+T14+T15</f>
        <v>26306987</v>
      </c>
      <c r="U5" s="120">
        <f>U6+U11+U12+U13+U14+U15</f>
        <v>0</v>
      </c>
      <c r="V5" s="123">
        <f t="shared" ref="V5:V19" si="6">U5-T5</f>
        <v>-26306987</v>
      </c>
      <c r="W5" s="124">
        <f t="shared" ref="W5:W54" si="7">IFERROR(V5/ABS(T5), "-")</f>
        <v>-1</v>
      </c>
      <c r="X5" s="339"/>
    </row>
    <row r="6" spans="1:24" ht="15.6" customHeight="1" x14ac:dyDescent="0.2">
      <c r="A6" s="67">
        <v>11100</v>
      </c>
      <c r="B6" s="68" t="s">
        <v>152</v>
      </c>
      <c r="C6" s="69">
        <f>C7+C8+C9+C10</f>
        <v>21750135</v>
      </c>
      <c r="D6" s="69">
        <f t="shared" ref="D6" si="8">D7+D8+D9+D10</f>
        <v>23175799</v>
      </c>
      <c r="E6" s="208">
        <f>E7+E8+E9+E10</f>
        <v>5995176.3100000005</v>
      </c>
      <c r="F6" s="208"/>
      <c r="G6" s="70">
        <f t="shared" si="0"/>
        <v>-5995176.3100000005</v>
      </c>
      <c r="H6" s="71">
        <f t="shared" si="1"/>
        <v>-1</v>
      </c>
      <c r="I6" s="72"/>
      <c r="J6" s="69">
        <f t="shared" ref="J6" si="9">J7+J8+J9+J10</f>
        <v>11444290.120000001</v>
      </c>
      <c r="K6" s="69"/>
      <c r="L6" s="70">
        <f t="shared" si="2"/>
        <v>-11444290.120000001</v>
      </c>
      <c r="M6" s="71">
        <f t="shared" si="3"/>
        <v>-1</v>
      </c>
      <c r="N6" s="72"/>
      <c r="O6" s="69">
        <f>O7+O8+O9+O10</f>
        <v>16724110</v>
      </c>
      <c r="P6" s="69">
        <f t="shared" ref="P6" si="10">P7+P8+P9+P10</f>
        <v>0</v>
      </c>
      <c r="Q6" s="70">
        <f t="shared" si="4"/>
        <v>-16724110</v>
      </c>
      <c r="R6" s="71">
        <f t="shared" si="5"/>
        <v>-1</v>
      </c>
      <c r="S6" s="72"/>
      <c r="T6" s="69">
        <f t="shared" ref="T6:U6" si="11">T7+T8+T9+T10</f>
        <v>23175799</v>
      </c>
      <c r="U6" s="69">
        <f t="shared" si="11"/>
        <v>0</v>
      </c>
      <c r="V6" s="70">
        <f t="shared" si="6"/>
        <v>-23175799</v>
      </c>
      <c r="W6" s="71">
        <f t="shared" si="7"/>
        <v>-1</v>
      </c>
      <c r="X6" s="72"/>
    </row>
    <row r="7" spans="1:24" s="195" customFormat="1" ht="15.6" customHeight="1" x14ac:dyDescent="0.2">
      <c r="A7" s="67">
        <v>11110</v>
      </c>
      <c r="B7" s="73" t="s">
        <v>96</v>
      </c>
      <c r="C7" s="69">
        <v>20929452</v>
      </c>
      <c r="D7" s="69">
        <v>22266726</v>
      </c>
      <c r="E7" s="208">
        <v>5723740.9000000004</v>
      </c>
      <c r="F7" s="208"/>
      <c r="G7" s="70">
        <f t="shared" si="0"/>
        <v>-5723740.9000000004</v>
      </c>
      <c r="H7" s="71">
        <f t="shared" si="1"/>
        <v>-1</v>
      </c>
      <c r="I7" s="74"/>
      <c r="J7" s="69">
        <f>11031798.41</f>
        <v>11031798.41</v>
      </c>
      <c r="K7" s="69"/>
      <c r="L7" s="70">
        <f t="shared" si="2"/>
        <v>-11031798.41</v>
      </c>
      <c r="M7" s="71">
        <f t="shared" si="3"/>
        <v>-1</v>
      </c>
      <c r="N7" s="74"/>
      <c r="O7" s="69">
        <v>16046475</v>
      </c>
      <c r="P7" s="69"/>
      <c r="Q7" s="70">
        <f t="shared" si="4"/>
        <v>-16046475</v>
      </c>
      <c r="R7" s="71">
        <f t="shared" si="5"/>
        <v>-1</v>
      </c>
      <c r="S7" s="74"/>
      <c r="T7" s="69">
        <v>22266726</v>
      </c>
      <c r="U7" s="69"/>
      <c r="V7" s="70">
        <f t="shared" si="6"/>
        <v>-22266726</v>
      </c>
      <c r="W7" s="71">
        <f t="shared" si="7"/>
        <v>-1</v>
      </c>
      <c r="X7" s="74"/>
    </row>
    <row r="8" spans="1:24" s="196" customFormat="1" ht="15.6" customHeight="1" x14ac:dyDescent="0.2">
      <c r="A8" s="67">
        <v>11120</v>
      </c>
      <c r="B8" s="75" t="s">
        <v>102</v>
      </c>
      <c r="C8" s="69"/>
      <c r="D8" s="69"/>
      <c r="E8" s="208"/>
      <c r="F8" s="208"/>
      <c r="G8" s="70">
        <f t="shared" si="0"/>
        <v>0</v>
      </c>
      <c r="H8" s="71" t="str">
        <f t="shared" si="1"/>
        <v>-</v>
      </c>
      <c r="I8" s="74"/>
      <c r="J8" s="69"/>
      <c r="K8" s="69"/>
      <c r="L8" s="70">
        <f t="shared" si="2"/>
        <v>0</v>
      </c>
      <c r="M8" s="71" t="str">
        <f t="shared" si="3"/>
        <v>-</v>
      </c>
      <c r="N8" s="74"/>
      <c r="O8" s="69"/>
      <c r="P8" s="69"/>
      <c r="Q8" s="70">
        <f t="shared" si="4"/>
        <v>0</v>
      </c>
      <c r="R8" s="71" t="str">
        <f t="shared" si="5"/>
        <v>-</v>
      </c>
      <c r="S8" s="74"/>
      <c r="T8" s="69"/>
      <c r="U8" s="69"/>
      <c r="V8" s="70">
        <f t="shared" si="6"/>
        <v>0</v>
      </c>
      <c r="W8" s="71" t="str">
        <f t="shared" si="7"/>
        <v>-</v>
      </c>
      <c r="X8" s="74"/>
    </row>
    <row r="9" spans="1:24" s="196" customFormat="1" x14ac:dyDescent="0.2">
      <c r="A9" s="67">
        <v>11130</v>
      </c>
      <c r="B9" s="75" t="s">
        <v>108</v>
      </c>
      <c r="C9" s="69">
        <v>820683</v>
      </c>
      <c r="D9" s="69">
        <v>909073</v>
      </c>
      <c r="E9" s="208">
        <f>7011.64+263579.54+844.23</f>
        <v>271435.40999999997</v>
      </c>
      <c r="F9" s="208"/>
      <c r="G9" s="70">
        <f t="shared" si="0"/>
        <v>-271435.40999999997</v>
      </c>
      <c r="H9" s="71">
        <f t="shared" si="1"/>
        <v>-1</v>
      </c>
      <c r="I9" s="446"/>
      <c r="J9" s="69">
        <f>8951.16+403540.55</f>
        <v>412491.70999999996</v>
      </c>
      <c r="K9" s="69"/>
      <c r="L9" s="70">
        <f t="shared" si="2"/>
        <v>-412491.70999999996</v>
      </c>
      <c r="M9" s="71">
        <f t="shared" si="3"/>
        <v>-1</v>
      </c>
      <c r="N9" s="74"/>
      <c r="O9" s="69">
        <v>677635</v>
      </c>
      <c r="P9" s="69"/>
      <c r="Q9" s="70">
        <f t="shared" si="4"/>
        <v>-677635</v>
      </c>
      <c r="R9" s="71">
        <f t="shared" si="5"/>
        <v>-1</v>
      </c>
      <c r="S9" s="74"/>
      <c r="T9" s="69">
        <v>909073</v>
      </c>
      <c r="U9" s="69"/>
      <c r="V9" s="70">
        <f t="shared" si="6"/>
        <v>-909073</v>
      </c>
      <c r="W9" s="71">
        <f t="shared" si="7"/>
        <v>-1</v>
      </c>
      <c r="X9" s="74"/>
    </row>
    <row r="10" spans="1:24" s="196" customFormat="1" x14ac:dyDescent="0.2">
      <c r="A10" s="67">
        <v>11140</v>
      </c>
      <c r="B10" s="75" t="s">
        <v>84</v>
      </c>
      <c r="C10" s="69"/>
      <c r="D10" s="69"/>
      <c r="E10" s="208"/>
      <c r="F10" s="208"/>
      <c r="G10" s="70">
        <f t="shared" si="0"/>
        <v>0</v>
      </c>
      <c r="H10" s="71" t="str">
        <f t="shared" si="1"/>
        <v>-</v>
      </c>
      <c r="I10" s="74"/>
      <c r="J10" s="69"/>
      <c r="K10" s="69"/>
      <c r="L10" s="70">
        <f t="shared" si="2"/>
        <v>0</v>
      </c>
      <c r="M10" s="71" t="str">
        <f t="shared" si="3"/>
        <v>-</v>
      </c>
      <c r="N10" s="74"/>
      <c r="O10" s="69"/>
      <c r="P10" s="69"/>
      <c r="Q10" s="70">
        <f t="shared" si="4"/>
        <v>0</v>
      </c>
      <c r="R10" s="71" t="str">
        <f t="shared" si="5"/>
        <v>-</v>
      </c>
      <c r="S10" s="74"/>
      <c r="T10" s="69"/>
      <c r="U10" s="69"/>
      <c r="V10" s="70">
        <f t="shared" si="6"/>
        <v>0</v>
      </c>
      <c r="W10" s="71" t="str">
        <f t="shared" si="7"/>
        <v>-</v>
      </c>
      <c r="X10" s="74"/>
    </row>
    <row r="11" spans="1:24" ht="15.6" customHeight="1" x14ac:dyDescent="0.2">
      <c r="A11" s="67">
        <v>11200</v>
      </c>
      <c r="B11" s="76" t="s">
        <v>407</v>
      </c>
      <c r="C11" s="77"/>
      <c r="D11" s="77"/>
      <c r="E11" s="444"/>
      <c r="F11" s="444"/>
      <c r="G11" s="78">
        <f t="shared" si="0"/>
        <v>0</v>
      </c>
      <c r="H11" s="79" t="str">
        <f t="shared" si="1"/>
        <v>-</v>
      </c>
      <c r="I11" s="80"/>
      <c r="J11" s="77"/>
      <c r="K11" s="77"/>
      <c r="L11" s="78">
        <f t="shared" si="2"/>
        <v>0</v>
      </c>
      <c r="M11" s="79" t="str">
        <f t="shared" si="3"/>
        <v>-</v>
      </c>
      <c r="N11" s="80"/>
      <c r="O11" s="77"/>
      <c r="P11" s="77"/>
      <c r="Q11" s="78">
        <f t="shared" si="4"/>
        <v>0</v>
      </c>
      <c r="R11" s="79" t="str">
        <f t="shared" si="5"/>
        <v>-</v>
      </c>
      <c r="S11" s="80"/>
      <c r="T11" s="77"/>
      <c r="U11" s="77"/>
      <c r="V11" s="78">
        <f t="shared" si="6"/>
        <v>0</v>
      </c>
      <c r="W11" s="79" t="str">
        <f t="shared" si="7"/>
        <v>-</v>
      </c>
      <c r="X11" s="80"/>
    </row>
    <row r="12" spans="1:24" ht="15.6" customHeight="1" x14ac:dyDescent="0.2">
      <c r="A12" s="67">
        <v>11300</v>
      </c>
      <c r="B12" s="81" t="s">
        <v>153</v>
      </c>
      <c r="C12" s="77">
        <v>1649390</v>
      </c>
      <c r="D12" s="77">
        <v>2234673</v>
      </c>
      <c r="E12" s="444">
        <f>497278.08+8.27+53266.6+5.18+17.54+67.17+12602.59</f>
        <v>563245.43000000017</v>
      </c>
      <c r="F12" s="444"/>
      <c r="G12" s="78">
        <f t="shared" si="0"/>
        <v>-563245.43000000017</v>
      </c>
      <c r="H12" s="79">
        <f t="shared" si="1"/>
        <v>-1</v>
      </c>
      <c r="I12" s="80"/>
      <c r="J12" s="77">
        <f>8.27+935610.1+53266.6+29.82+7.93+67.17+8535.93</f>
        <v>997525.82000000007</v>
      </c>
      <c r="K12" s="77"/>
      <c r="L12" s="78">
        <f t="shared" si="2"/>
        <v>-997525.82000000007</v>
      </c>
      <c r="M12" s="79">
        <f t="shared" si="3"/>
        <v>-1</v>
      </c>
      <c r="N12" s="80"/>
      <c r="O12" s="77">
        <f>1653636+54029</f>
        <v>1707665</v>
      </c>
      <c r="P12" s="77"/>
      <c r="Q12" s="78">
        <f t="shared" si="4"/>
        <v>-1707665</v>
      </c>
      <c r="R12" s="79">
        <f t="shared" si="5"/>
        <v>-1</v>
      </c>
      <c r="S12" s="80"/>
      <c r="T12" s="77">
        <v>2234673</v>
      </c>
      <c r="U12" s="77"/>
      <c r="V12" s="78">
        <f t="shared" si="6"/>
        <v>-2234673</v>
      </c>
      <c r="W12" s="79">
        <f t="shared" si="7"/>
        <v>-1</v>
      </c>
      <c r="X12" s="80"/>
    </row>
    <row r="13" spans="1:24" ht="15.6" customHeight="1" x14ac:dyDescent="0.2">
      <c r="A13" s="67">
        <v>11400</v>
      </c>
      <c r="B13" s="17" t="s">
        <v>4</v>
      </c>
      <c r="C13" s="82">
        <v>341420</v>
      </c>
      <c r="D13" s="82">
        <v>351813</v>
      </c>
      <c r="E13" s="103">
        <v>97150.14</v>
      </c>
      <c r="F13" s="103"/>
      <c r="G13" s="83">
        <f t="shared" si="0"/>
        <v>-97150.14</v>
      </c>
      <c r="H13" s="47">
        <f t="shared" si="1"/>
        <v>-1</v>
      </c>
      <c r="I13" s="108"/>
      <c r="J13" s="82">
        <f>184072.13</f>
        <v>184072.13</v>
      </c>
      <c r="K13" s="82"/>
      <c r="L13" s="83">
        <f t="shared" si="2"/>
        <v>-184072.13</v>
      </c>
      <c r="M13" s="47">
        <f t="shared" si="3"/>
        <v>-1</v>
      </c>
      <c r="N13" s="84"/>
      <c r="O13" s="82">
        <v>248105</v>
      </c>
      <c r="P13" s="82"/>
      <c r="Q13" s="83">
        <f t="shared" si="4"/>
        <v>-248105</v>
      </c>
      <c r="R13" s="47">
        <f t="shared" si="5"/>
        <v>-1</v>
      </c>
      <c r="S13" s="84"/>
      <c r="T13" s="82">
        <v>351813</v>
      </c>
      <c r="U13" s="82"/>
      <c r="V13" s="83">
        <f t="shared" si="6"/>
        <v>-351813</v>
      </c>
      <c r="W13" s="47">
        <f t="shared" si="7"/>
        <v>-1</v>
      </c>
      <c r="X13" s="84"/>
    </row>
    <row r="14" spans="1:24" ht="15.6" customHeight="1" x14ac:dyDescent="0.2">
      <c r="A14" s="67">
        <v>11500</v>
      </c>
      <c r="B14" s="17" t="s">
        <v>258</v>
      </c>
      <c r="C14" s="82">
        <v>288393</v>
      </c>
      <c r="D14" s="82">
        <v>362894</v>
      </c>
      <c r="E14" s="103">
        <v>72854.740000000005</v>
      </c>
      <c r="F14" s="103"/>
      <c r="G14" s="83">
        <f t="shared" si="0"/>
        <v>-72854.740000000005</v>
      </c>
      <c r="H14" s="47">
        <f t="shared" si="1"/>
        <v>-1</v>
      </c>
      <c r="I14" s="84"/>
      <c r="J14" s="82">
        <v>140651.41</v>
      </c>
      <c r="K14" s="82"/>
      <c r="L14" s="83">
        <f t="shared" si="2"/>
        <v>-140651.41</v>
      </c>
      <c r="M14" s="47">
        <f t="shared" si="3"/>
        <v>-1</v>
      </c>
      <c r="N14" s="84"/>
      <c r="O14" s="82">
        <v>268061</v>
      </c>
      <c r="P14" s="82"/>
      <c r="Q14" s="83">
        <f t="shared" si="4"/>
        <v>-268061</v>
      </c>
      <c r="R14" s="47">
        <f t="shared" si="5"/>
        <v>-1</v>
      </c>
      <c r="S14" s="84"/>
      <c r="T14" s="82">
        <v>362894</v>
      </c>
      <c r="U14" s="82"/>
      <c r="V14" s="83">
        <f t="shared" si="6"/>
        <v>-362894</v>
      </c>
      <c r="W14" s="47">
        <f t="shared" si="7"/>
        <v>-1</v>
      </c>
      <c r="X14" s="84"/>
    </row>
    <row r="15" spans="1:24" ht="15.6" customHeight="1" x14ac:dyDescent="0.2">
      <c r="A15" s="67">
        <v>11600</v>
      </c>
      <c r="B15" s="85" t="s">
        <v>7</v>
      </c>
      <c r="C15" s="82">
        <v>134260</v>
      </c>
      <c r="D15" s="82">
        <v>181808</v>
      </c>
      <c r="E15" s="103">
        <v>37905.53</v>
      </c>
      <c r="F15" s="103"/>
      <c r="G15" s="83">
        <f t="shared" si="0"/>
        <v>-37905.53</v>
      </c>
      <c r="H15" s="47">
        <f t="shared" si="1"/>
        <v>-1</v>
      </c>
      <c r="I15" s="84"/>
      <c r="J15" s="82">
        <v>71112.100000000006</v>
      </c>
      <c r="K15" s="82"/>
      <c r="L15" s="83">
        <f t="shared" si="2"/>
        <v>-71112.100000000006</v>
      </c>
      <c r="M15" s="47">
        <f t="shared" si="3"/>
        <v>-1</v>
      </c>
      <c r="N15" s="84"/>
      <c r="O15" s="82">
        <v>130983</v>
      </c>
      <c r="P15" s="82"/>
      <c r="Q15" s="83">
        <f t="shared" si="4"/>
        <v>-130983</v>
      </c>
      <c r="R15" s="47">
        <f t="shared" si="5"/>
        <v>-1</v>
      </c>
      <c r="S15" s="84"/>
      <c r="T15" s="82">
        <v>181808</v>
      </c>
      <c r="U15" s="82"/>
      <c r="V15" s="83">
        <f t="shared" si="6"/>
        <v>-181808</v>
      </c>
      <c r="W15" s="47">
        <f t="shared" si="7"/>
        <v>-1</v>
      </c>
      <c r="X15" s="84"/>
    </row>
    <row r="16" spans="1:24" ht="15.6" customHeight="1" x14ac:dyDescent="0.2">
      <c r="A16" s="118">
        <v>12000</v>
      </c>
      <c r="B16" s="63" t="s">
        <v>154</v>
      </c>
      <c r="C16" s="121">
        <f>C17+C18</f>
        <v>23622500.57</v>
      </c>
      <c r="D16" s="121">
        <f>D17+D18</f>
        <v>25828292</v>
      </c>
      <c r="E16" s="121">
        <f>E17+E18</f>
        <v>5963133.0099999998</v>
      </c>
      <c r="F16" s="121">
        <f>F17+F18</f>
        <v>0</v>
      </c>
      <c r="G16" s="122">
        <f t="shared" si="0"/>
        <v>-5963133.0099999998</v>
      </c>
      <c r="H16" s="30">
        <f t="shared" si="1"/>
        <v>-1</v>
      </c>
      <c r="I16" s="341"/>
      <c r="J16" s="121">
        <f>J17+J18</f>
        <v>12045818.9</v>
      </c>
      <c r="K16" s="121">
        <f>K17+K18</f>
        <v>0</v>
      </c>
      <c r="L16" s="122">
        <f t="shared" si="2"/>
        <v>-12045818.9</v>
      </c>
      <c r="M16" s="30">
        <f t="shared" si="3"/>
        <v>-1</v>
      </c>
      <c r="N16" s="341"/>
      <c r="O16" s="121">
        <f>O17+O18</f>
        <v>18736741</v>
      </c>
      <c r="P16" s="121">
        <f>P17+P18</f>
        <v>0</v>
      </c>
      <c r="Q16" s="122">
        <f t="shared" si="4"/>
        <v>-18736741</v>
      </c>
      <c r="R16" s="30">
        <f t="shared" si="5"/>
        <v>-1</v>
      </c>
      <c r="S16" s="341"/>
      <c r="T16" s="121">
        <f>T17+T18</f>
        <v>25828292</v>
      </c>
      <c r="U16" s="121">
        <f>U17+U18</f>
        <v>0</v>
      </c>
      <c r="V16" s="122">
        <f t="shared" si="6"/>
        <v>-25828292</v>
      </c>
      <c r="W16" s="30">
        <f t="shared" si="7"/>
        <v>-1</v>
      </c>
      <c r="X16" s="341"/>
    </row>
    <row r="17" spans="1:24" x14ac:dyDescent="0.2">
      <c r="A17" s="67">
        <v>12100</v>
      </c>
      <c r="B17" s="68" t="s">
        <v>155</v>
      </c>
      <c r="C17" s="77">
        <v>1878523</v>
      </c>
      <c r="D17" s="77">
        <v>2119679.7200000002</v>
      </c>
      <c r="E17" s="444">
        <v>673619.07</v>
      </c>
      <c r="F17" s="444"/>
      <c r="G17" s="78">
        <f t="shared" si="0"/>
        <v>-673619.07</v>
      </c>
      <c r="H17" s="79">
        <f t="shared" si="1"/>
        <v>-1</v>
      </c>
      <c r="I17" s="445"/>
      <c r="J17" s="77">
        <f>1083208.49</f>
        <v>1083208.49</v>
      </c>
      <c r="K17" s="77"/>
      <c r="L17" s="78">
        <f t="shared" si="2"/>
        <v>-1083208.49</v>
      </c>
      <c r="M17" s="79">
        <f t="shared" si="3"/>
        <v>-1</v>
      </c>
      <c r="N17" s="86"/>
      <c r="O17" s="77">
        <v>1437887</v>
      </c>
      <c r="P17" s="77"/>
      <c r="Q17" s="78">
        <f t="shared" si="4"/>
        <v>-1437887</v>
      </c>
      <c r="R17" s="79">
        <f t="shared" si="5"/>
        <v>-1</v>
      </c>
      <c r="S17" s="86"/>
      <c r="T17" s="77">
        <v>2119679.7200000002</v>
      </c>
      <c r="U17" s="77"/>
      <c r="V17" s="78">
        <f t="shared" si="6"/>
        <v>-2119679.7200000002</v>
      </c>
      <c r="W17" s="79">
        <f t="shared" si="7"/>
        <v>-1</v>
      </c>
      <c r="X17" s="86"/>
    </row>
    <row r="18" spans="1:24" ht="15.6" customHeight="1" x14ac:dyDescent="0.2">
      <c r="A18" s="67">
        <v>12200</v>
      </c>
      <c r="B18" s="68" t="s">
        <v>156</v>
      </c>
      <c r="C18" s="77">
        <f>21744034-56.43</f>
        <v>21743977.57</v>
      </c>
      <c r="D18" s="77">
        <f>25907822-D17-79530</f>
        <v>23708612.280000001</v>
      </c>
      <c r="E18" s="444">
        <f>5963133.01-E17</f>
        <v>5289513.9399999995</v>
      </c>
      <c r="F18" s="444"/>
      <c r="G18" s="78">
        <f t="shared" si="0"/>
        <v>-5289513.9399999995</v>
      </c>
      <c r="H18" s="79">
        <f t="shared" si="1"/>
        <v>-1</v>
      </c>
      <c r="I18" s="80"/>
      <c r="J18" s="77">
        <f>12045818.9-J17</f>
        <v>10962610.41</v>
      </c>
      <c r="K18" s="77"/>
      <c r="L18" s="78">
        <f t="shared" si="2"/>
        <v>-10962610.41</v>
      </c>
      <c r="M18" s="79">
        <f t="shared" si="3"/>
        <v>-1</v>
      </c>
      <c r="N18" s="80"/>
      <c r="O18" s="77">
        <f>18768211-1437887-59237+27647+120</f>
        <v>17298854</v>
      </c>
      <c r="P18" s="77"/>
      <c r="Q18" s="78">
        <f t="shared" si="4"/>
        <v>-17298854</v>
      </c>
      <c r="R18" s="79">
        <f t="shared" si="5"/>
        <v>-1</v>
      </c>
      <c r="S18" s="80"/>
      <c r="T18" s="77">
        <f>25907822-T17-79530</f>
        <v>23708612.280000001</v>
      </c>
      <c r="U18" s="77"/>
      <c r="V18" s="78">
        <f t="shared" si="6"/>
        <v>-23708612.280000001</v>
      </c>
      <c r="W18" s="79">
        <f t="shared" si="7"/>
        <v>-1</v>
      </c>
      <c r="X18" s="80"/>
    </row>
    <row r="19" spans="1:24" ht="29.45" customHeight="1" x14ac:dyDescent="0.2">
      <c r="A19" s="118">
        <v>13000</v>
      </c>
      <c r="B19" s="125" t="s">
        <v>157</v>
      </c>
      <c r="C19" s="121">
        <f>C5-C16</f>
        <v>541097.4299999997</v>
      </c>
      <c r="D19" s="121">
        <f>D5-D16</f>
        <v>478695</v>
      </c>
      <c r="E19" s="121">
        <f>E5-E16</f>
        <v>803199.1400000006</v>
      </c>
      <c r="F19" s="121">
        <f>F5-F16</f>
        <v>0</v>
      </c>
      <c r="G19" s="122">
        <f t="shared" si="0"/>
        <v>-803199.1400000006</v>
      </c>
      <c r="H19" s="30">
        <f t="shared" si="1"/>
        <v>-1</v>
      </c>
      <c r="I19" s="341"/>
      <c r="J19" s="121">
        <f>J5-J16</f>
        <v>791832.68000000156</v>
      </c>
      <c r="K19" s="121">
        <f>K5-K16</f>
        <v>0</v>
      </c>
      <c r="L19" s="122">
        <f t="shared" si="2"/>
        <v>-791832.68000000156</v>
      </c>
      <c r="M19" s="30">
        <f t="shared" si="3"/>
        <v>-1</v>
      </c>
      <c r="N19" s="341"/>
      <c r="O19" s="121">
        <f>O5-O16</f>
        <v>342183</v>
      </c>
      <c r="P19" s="121">
        <f>P5-P16</f>
        <v>0</v>
      </c>
      <c r="Q19" s="122">
        <f t="shared" si="4"/>
        <v>-342183</v>
      </c>
      <c r="R19" s="30">
        <f t="shared" si="5"/>
        <v>-1</v>
      </c>
      <c r="S19" s="341"/>
      <c r="T19" s="121">
        <f>T5-T16</f>
        <v>478695</v>
      </c>
      <c r="U19" s="121">
        <f>U5-U16</f>
        <v>0</v>
      </c>
      <c r="V19" s="122">
        <f t="shared" si="6"/>
        <v>-478695</v>
      </c>
      <c r="W19" s="30">
        <f t="shared" si="7"/>
        <v>-1</v>
      </c>
      <c r="X19" s="341"/>
    </row>
    <row r="20" spans="1:24" ht="15.6" customHeight="1" x14ac:dyDescent="0.2">
      <c r="A20" s="334" t="s">
        <v>163</v>
      </c>
      <c r="B20" s="539" t="s">
        <v>159</v>
      </c>
      <c r="C20" s="539"/>
      <c r="D20" s="539"/>
      <c r="E20" s="539"/>
      <c r="F20" s="539"/>
      <c r="G20" s="539"/>
      <c r="H20" s="338" t="str">
        <f t="shared" si="1"/>
        <v>-</v>
      </c>
      <c r="I20" s="336"/>
      <c r="J20" s="337"/>
      <c r="K20" s="337"/>
      <c r="L20" s="337"/>
      <c r="M20" s="338" t="str">
        <f t="shared" si="3"/>
        <v>-</v>
      </c>
      <c r="N20" s="336"/>
      <c r="O20" s="337"/>
      <c r="P20" s="337"/>
      <c r="Q20" s="337"/>
      <c r="R20" s="338" t="str">
        <f t="shared" si="5"/>
        <v>-</v>
      </c>
      <c r="S20" s="336"/>
      <c r="T20" s="337"/>
      <c r="U20" s="337"/>
      <c r="V20" s="337"/>
      <c r="W20" s="338" t="str">
        <f t="shared" si="7"/>
        <v>-</v>
      </c>
      <c r="X20" s="336"/>
    </row>
    <row r="21" spans="1:24" ht="15.6" customHeight="1" x14ac:dyDescent="0.2">
      <c r="A21" s="126">
        <v>14000</v>
      </c>
      <c r="B21" s="127" t="s">
        <v>265</v>
      </c>
      <c r="C21" s="128">
        <f>C22+C23+C24+C25+C26</f>
        <v>0</v>
      </c>
      <c r="D21" s="128">
        <f t="shared" ref="D21" si="12">D22+D23+D24+D25+D26</f>
        <v>0</v>
      </c>
      <c r="E21" s="128">
        <f t="shared" ref="E21:F21" si="13">E22+E23+E24+E25+E26</f>
        <v>0</v>
      </c>
      <c r="F21" s="128">
        <f t="shared" si="13"/>
        <v>0</v>
      </c>
      <c r="G21" s="129">
        <f t="shared" ref="G21:G30" si="14">F21-E21</f>
        <v>0</v>
      </c>
      <c r="H21" s="30" t="str">
        <f t="shared" si="1"/>
        <v>-</v>
      </c>
      <c r="I21" s="340"/>
      <c r="J21" s="128">
        <f t="shared" ref="J21:K21" si="15">J22+J23+J24+J25+J26</f>
        <v>0</v>
      </c>
      <c r="K21" s="128">
        <f t="shared" si="15"/>
        <v>0</v>
      </c>
      <c r="L21" s="129">
        <f t="shared" ref="L21:L34" si="16">K21-J21</f>
        <v>0</v>
      </c>
      <c r="M21" s="30" t="str">
        <f t="shared" si="3"/>
        <v>-</v>
      </c>
      <c r="N21" s="340"/>
      <c r="O21" s="128">
        <f t="shared" ref="O21:P21" si="17">O22+O23+O24+O25+O26</f>
        <v>0</v>
      </c>
      <c r="P21" s="128">
        <f t="shared" si="17"/>
        <v>0</v>
      </c>
      <c r="Q21" s="129">
        <f t="shared" ref="Q21:Q34" si="18">P21-O21</f>
        <v>0</v>
      </c>
      <c r="R21" s="30" t="str">
        <f t="shared" si="5"/>
        <v>-</v>
      </c>
      <c r="S21" s="340"/>
      <c r="T21" s="128">
        <f t="shared" ref="T21:U21" si="19">T22+T23+T24+T25+T26</f>
        <v>0</v>
      </c>
      <c r="U21" s="128">
        <f t="shared" si="19"/>
        <v>0</v>
      </c>
      <c r="V21" s="129">
        <f t="shared" ref="V21:V34" si="20">U21-T21</f>
        <v>0</v>
      </c>
      <c r="W21" s="30" t="str">
        <f t="shared" si="7"/>
        <v>-</v>
      </c>
      <c r="X21" s="340"/>
    </row>
    <row r="22" spans="1:24" ht="31.5" customHeight="1" x14ac:dyDescent="0.2">
      <c r="A22" s="34">
        <v>14100</v>
      </c>
      <c r="B22" s="88" t="s">
        <v>261</v>
      </c>
      <c r="C22" s="19"/>
      <c r="D22" s="19"/>
      <c r="E22" s="19"/>
      <c r="F22" s="19"/>
      <c r="G22" s="89">
        <f t="shared" si="14"/>
        <v>0</v>
      </c>
      <c r="H22" s="29" t="str">
        <f t="shared" si="1"/>
        <v>-</v>
      </c>
      <c r="I22" s="90"/>
      <c r="J22" s="19"/>
      <c r="K22" s="19"/>
      <c r="L22" s="89">
        <f t="shared" si="16"/>
        <v>0</v>
      </c>
      <c r="M22" s="29" t="str">
        <f t="shared" si="3"/>
        <v>-</v>
      </c>
      <c r="N22" s="90"/>
      <c r="O22" s="19"/>
      <c r="P22" s="19"/>
      <c r="Q22" s="89">
        <f t="shared" si="18"/>
        <v>0</v>
      </c>
      <c r="R22" s="29" t="str">
        <f t="shared" si="5"/>
        <v>-</v>
      </c>
      <c r="S22" s="90"/>
      <c r="T22" s="19"/>
      <c r="U22" s="19"/>
      <c r="V22" s="89">
        <f t="shared" si="20"/>
        <v>0</v>
      </c>
      <c r="W22" s="29" t="str">
        <f t="shared" si="7"/>
        <v>-</v>
      </c>
      <c r="X22" s="90"/>
    </row>
    <row r="23" spans="1:24" ht="30.95" customHeight="1" x14ac:dyDescent="0.2">
      <c r="A23" s="34">
        <v>14200</v>
      </c>
      <c r="B23" s="88" t="s">
        <v>160</v>
      </c>
      <c r="C23" s="19"/>
      <c r="D23" s="19"/>
      <c r="E23" s="19"/>
      <c r="F23" s="19"/>
      <c r="G23" s="89">
        <f t="shared" si="14"/>
        <v>0</v>
      </c>
      <c r="H23" s="29" t="str">
        <f t="shared" si="1"/>
        <v>-</v>
      </c>
      <c r="I23" s="90"/>
      <c r="J23" s="19"/>
      <c r="K23" s="19"/>
      <c r="L23" s="89">
        <f t="shared" si="16"/>
        <v>0</v>
      </c>
      <c r="M23" s="29" t="str">
        <f t="shared" si="3"/>
        <v>-</v>
      </c>
      <c r="N23" s="90"/>
      <c r="O23" s="19"/>
      <c r="P23" s="19"/>
      <c r="Q23" s="89">
        <f t="shared" si="18"/>
        <v>0</v>
      </c>
      <c r="R23" s="29" t="str">
        <f t="shared" si="5"/>
        <v>-</v>
      </c>
      <c r="S23" s="90"/>
      <c r="T23" s="19"/>
      <c r="U23" s="19"/>
      <c r="V23" s="89">
        <f t="shared" si="20"/>
        <v>0</v>
      </c>
      <c r="W23" s="29" t="str">
        <f t="shared" si="7"/>
        <v>-</v>
      </c>
      <c r="X23" s="90"/>
    </row>
    <row r="24" spans="1:24" ht="15.6" customHeight="1" x14ac:dyDescent="0.2">
      <c r="A24" s="34">
        <v>14300</v>
      </c>
      <c r="B24" s="16" t="s">
        <v>162</v>
      </c>
      <c r="C24" s="19"/>
      <c r="D24" s="19"/>
      <c r="E24" s="19"/>
      <c r="F24" s="19"/>
      <c r="G24" s="89">
        <f t="shared" si="14"/>
        <v>0</v>
      </c>
      <c r="H24" s="29" t="str">
        <f t="shared" si="1"/>
        <v>-</v>
      </c>
      <c r="I24" s="90"/>
      <c r="J24" s="19"/>
      <c r="K24" s="19"/>
      <c r="L24" s="89">
        <f t="shared" si="16"/>
        <v>0</v>
      </c>
      <c r="M24" s="29" t="str">
        <f t="shared" si="3"/>
        <v>-</v>
      </c>
      <c r="N24" s="90"/>
      <c r="O24" s="19"/>
      <c r="P24" s="19"/>
      <c r="Q24" s="89">
        <f t="shared" si="18"/>
        <v>0</v>
      </c>
      <c r="R24" s="29" t="str">
        <f t="shared" si="5"/>
        <v>-</v>
      </c>
      <c r="S24" s="90"/>
      <c r="T24" s="19"/>
      <c r="U24" s="19"/>
      <c r="V24" s="89">
        <f t="shared" si="20"/>
        <v>0</v>
      </c>
      <c r="W24" s="29" t="str">
        <f t="shared" si="7"/>
        <v>-</v>
      </c>
      <c r="X24" s="90"/>
    </row>
    <row r="25" spans="1:24" ht="15.6" customHeight="1" x14ac:dyDescent="0.2">
      <c r="A25" s="34">
        <v>14400</v>
      </c>
      <c r="B25" s="16" t="s">
        <v>266</v>
      </c>
      <c r="C25" s="19"/>
      <c r="D25" s="19"/>
      <c r="E25" s="19"/>
      <c r="F25" s="19"/>
      <c r="G25" s="89">
        <f t="shared" si="14"/>
        <v>0</v>
      </c>
      <c r="H25" s="29" t="str">
        <f t="shared" si="1"/>
        <v>-</v>
      </c>
      <c r="I25" s="90"/>
      <c r="J25" s="19"/>
      <c r="K25" s="19"/>
      <c r="L25" s="89">
        <f t="shared" si="16"/>
        <v>0</v>
      </c>
      <c r="M25" s="29" t="str">
        <f t="shared" si="3"/>
        <v>-</v>
      </c>
      <c r="N25" s="90"/>
      <c r="O25" s="19"/>
      <c r="P25" s="19"/>
      <c r="Q25" s="89">
        <f t="shared" si="18"/>
        <v>0</v>
      </c>
      <c r="R25" s="29" t="str">
        <f t="shared" si="5"/>
        <v>-</v>
      </c>
      <c r="S25" s="90"/>
      <c r="T25" s="19"/>
      <c r="U25" s="19"/>
      <c r="V25" s="89">
        <f t="shared" si="20"/>
        <v>0</v>
      </c>
      <c r="W25" s="29" t="str">
        <f t="shared" si="7"/>
        <v>-</v>
      </c>
      <c r="X25" s="90"/>
    </row>
    <row r="26" spans="1:24" ht="15.6" customHeight="1" x14ac:dyDescent="0.2">
      <c r="A26" s="34">
        <v>14500</v>
      </c>
      <c r="B26" s="16" t="s">
        <v>267</v>
      </c>
      <c r="C26" s="19"/>
      <c r="D26" s="19"/>
      <c r="E26" s="19"/>
      <c r="F26" s="19"/>
      <c r="G26" s="89">
        <f t="shared" si="14"/>
        <v>0</v>
      </c>
      <c r="H26" s="29" t="str">
        <f t="shared" si="1"/>
        <v>-</v>
      </c>
      <c r="I26" s="90"/>
      <c r="J26" s="19"/>
      <c r="K26" s="19"/>
      <c r="L26" s="89">
        <f t="shared" si="16"/>
        <v>0</v>
      </c>
      <c r="M26" s="29" t="str">
        <f t="shared" si="3"/>
        <v>-</v>
      </c>
      <c r="N26" s="90"/>
      <c r="O26" s="19"/>
      <c r="P26" s="19"/>
      <c r="Q26" s="89">
        <f t="shared" si="18"/>
        <v>0</v>
      </c>
      <c r="R26" s="29" t="str">
        <f t="shared" si="5"/>
        <v>-</v>
      </c>
      <c r="S26" s="90"/>
      <c r="T26" s="19"/>
      <c r="U26" s="19"/>
      <c r="V26" s="89">
        <f t="shared" si="20"/>
        <v>0</v>
      </c>
      <c r="W26" s="29" t="str">
        <f t="shared" si="7"/>
        <v>-</v>
      </c>
      <c r="X26" s="90"/>
    </row>
    <row r="27" spans="1:24" ht="15.6" customHeight="1" x14ac:dyDescent="0.2">
      <c r="A27" s="126">
        <v>15000</v>
      </c>
      <c r="B27" s="130" t="s">
        <v>268</v>
      </c>
      <c r="C27" s="128">
        <f>C28+C29+C33</f>
        <v>1088687</v>
      </c>
      <c r="D27" s="128">
        <v>207747</v>
      </c>
      <c r="E27" s="128">
        <f>E28+E29+E33</f>
        <v>121321.53</v>
      </c>
      <c r="F27" s="128">
        <f>F28+F29+F33</f>
        <v>0</v>
      </c>
      <c r="G27" s="129">
        <f t="shared" si="14"/>
        <v>-121321.53</v>
      </c>
      <c r="H27" s="30">
        <f t="shared" si="1"/>
        <v>-1</v>
      </c>
      <c r="I27" s="340"/>
      <c r="J27" s="128">
        <f>J28+J29+J33</f>
        <v>207746.56</v>
      </c>
      <c r="K27" s="128">
        <f>K28+K29+K33</f>
        <v>0</v>
      </c>
      <c r="L27" s="129">
        <f t="shared" si="16"/>
        <v>-207746.56</v>
      </c>
      <c r="M27" s="30">
        <f t="shared" si="3"/>
        <v>-1</v>
      </c>
      <c r="N27" s="340"/>
      <c r="O27" s="128">
        <v>207747</v>
      </c>
      <c r="P27" s="128">
        <f>P28+P29+P33</f>
        <v>0</v>
      </c>
      <c r="Q27" s="129">
        <f t="shared" si="18"/>
        <v>-207747</v>
      </c>
      <c r="R27" s="30">
        <f t="shared" si="5"/>
        <v>-1</v>
      </c>
      <c r="S27" s="340"/>
      <c r="T27" s="128">
        <v>207747</v>
      </c>
      <c r="U27" s="128">
        <f>U28+U29+U33</f>
        <v>0</v>
      </c>
      <c r="V27" s="129">
        <f t="shared" si="20"/>
        <v>-207747</v>
      </c>
      <c r="W27" s="30">
        <f t="shared" si="7"/>
        <v>-1</v>
      </c>
      <c r="X27" s="340"/>
    </row>
    <row r="28" spans="1:24" ht="31.5" customHeight="1" x14ac:dyDescent="0.2">
      <c r="A28" s="34">
        <v>15100</v>
      </c>
      <c r="B28" s="88" t="s">
        <v>260</v>
      </c>
      <c r="C28" s="19"/>
      <c r="D28" s="19"/>
      <c r="E28" s="19"/>
      <c r="F28" s="19"/>
      <c r="G28" s="89">
        <f t="shared" si="14"/>
        <v>0</v>
      </c>
      <c r="H28" s="29" t="str">
        <f t="shared" si="1"/>
        <v>-</v>
      </c>
      <c r="I28" s="91"/>
      <c r="J28" s="19"/>
      <c r="K28" s="19"/>
      <c r="L28" s="89">
        <f t="shared" si="16"/>
        <v>0</v>
      </c>
      <c r="M28" s="29" t="str">
        <f t="shared" si="3"/>
        <v>-</v>
      </c>
      <c r="N28" s="91"/>
      <c r="O28" s="19"/>
      <c r="P28" s="19"/>
      <c r="Q28" s="89">
        <f t="shared" si="18"/>
        <v>0</v>
      </c>
      <c r="R28" s="29" t="str">
        <f t="shared" si="5"/>
        <v>-</v>
      </c>
      <c r="S28" s="91"/>
      <c r="T28" s="19"/>
      <c r="U28" s="19"/>
      <c r="V28" s="89">
        <f t="shared" si="20"/>
        <v>0</v>
      </c>
      <c r="W28" s="29" t="str">
        <f t="shared" si="7"/>
        <v>-</v>
      </c>
      <c r="X28" s="91"/>
    </row>
    <row r="29" spans="1:24" ht="15.6" customHeight="1" x14ac:dyDescent="0.2">
      <c r="A29" s="34">
        <v>15200</v>
      </c>
      <c r="B29" s="88" t="s">
        <v>429</v>
      </c>
      <c r="C29" s="92">
        <f>C30+C31+C32</f>
        <v>1088687</v>
      </c>
      <c r="D29" s="92">
        <v>207747</v>
      </c>
      <c r="E29" s="97">
        <v>121321.53</v>
      </c>
      <c r="F29" s="97"/>
      <c r="G29" s="93">
        <f t="shared" si="14"/>
        <v>-121321.53</v>
      </c>
      <c r="H29" s="94">
        <f t="shared" si="1"/>
        <v>-1</v>
      </c>
      <c r="I29" s="87"/>
      <c r="J29" s="92">
        <v>207746.56</v>
      </c>
      <c r="K29" s="92"/>
      <c r="L29" s="93">
        <f t="shared" si="16"/>
        <v>-207746.56</v>
      </c>
      <c r="M29" s="94">
        <f t="shared" si="3"/>
        <v>-1</v>
      </c>
      <c r="N29" s="87"/>
      <c r="O29" s="92">
        <v>207747</v>
      </c>
      <c r="P29" s="92">
        <f>P30+P31+P32</f>
        <v>0</v>
      </c>
      <c r="Q29" s="93">
        <f t="shared" si="18"/>
        <v>-207747</v>
      </c>
      <c r="R29" s="94">
        <f t="shared" si="5"/>
        <v>-1</v>
      </c>
      <c r="S29" s="87"/>
      <c r="T29" s="92">
        <v>207747</v>
      </c>
      <c r="U29" s="92">
        <f>U30+U31+U32</f>
        <v>0</v>
      </c>
      <c r="V29" s="93">
        <f t="shared" si="20"/>
        <v>-207747</v>
      </c>
      <c r="W29" s="94">
        <f t="shared" si="7"/>
        <v>-1</v>
      </c>
      <c r="X29" s="87"/>
    </row>
    <row r="30" spans="1:24" ht="15.6" customHeight="1" x14ac:dyDescent="0.2">
      <c r="A30" s="95">
        <v>15210</v>
      </c>
      <c r="B30" s="96" t="s">
        <v>264</v>
      </c>
      <c r="C30" s="97">
        <v>33275</v>
      </c>
      <c r="D30" s="97"/>
      <c r="E30" s="97"/>
      <c r="F30" s="97"/>
      <c r="G30" s="98">
        <f t="shared" si="14"/>
        <v>0</v>
      </c>
      <c r="H30" s="79" t="str">
        <f t="shared" si="1"/>
        <v>-</v>
      </c>
      <c r="I30" s="99"/>
      <c r="J30" s="97"/>
      <c r="K30" s="97"/>
      <c r="L30" s="98">
        <f t="shared" si="16"/>
        <v>0</v>
      </c>
      <c r="M30" s="79" t="str">
        <f t="shared" si="3"/>
        <v>-</v>
      </c>
      <c r="N30" s="99"/>
      <c r="O30" s="97"/>
      <c r="P30" s="97"/>
      <c r="Q30" s="98">
        <f t="shared" si="18"/>
        <v>0</v>
      </c>
      <c r="R30" s="79" t="str">
        <f t="shared" si="5"/>
        <v>-</v>
      </c>
      <c r="S30" s="99"/>
      <c r="T30" s="97"/>
      <c r="U30" s="97"/>
      <c r="V30" s="98">
        <f t="shared" si="20"/>
        <v>0</v>
      </c>
      <c r="W30" s="79" t="str">
        <f t="shared" si="7"/>
        <v>-</v>
      </c>
      <c r="X30" s="99"/>
    </row>
    <row r="31" spans="1:24" ht="15.6" customHeight="1" x14ac:dyDescent="0.2">
      <c r="A31" s="95">
        <v>15220</v>
      </c>
      <c r="B31" s="96" t="s">
        <v>262</v>
      </c>
      <c r="C31" s="97">
        <v>789907</v>
      </c>
      <c r="D31" s="97"/>
      <c r="E31" s="97"/>
      <c r="F31" s="97"/>
      <c r="G31" s="98">
        <f t="shared" ref="G31:G34" si="21">F31-E31</f>
        <v>0</v>
      </c>
      <c r="H31" s="79" t="str">
        <f t="shared" ref="H31:H46" si="22">IFERROR(G31/ABS(E31), "-")</f>
        <v>-</v>
      </c>
      <c r="I31" s="99"/>
      <c r="J31" s="97"/>
      <c r="K31" s="97"/>
      <c r="L31" s="98">
        <f t="shared" si="16"/>
        <v>0</v>
      </c>
      <c r="M31" s="79" t="str">
        <f t="shared" si="3"/>
        <v>-</v>
      </c>
      <c r="N31" s="99"/>
      <c r="O31" s="97"/>
      <c r="P31" s="97"/>
      <c r="Q31" s="98">
        <f t="shared" si="18"/>
        <v>0</v>
      </c>
      <c r="R31" s="79" t="str">
        <f t="shared" si="5"/>
        <v>-</v>
      </c>
      <c r="S31" s="99"/>
      <c r="T31" s="97"/>
      <c r="U31" s="97"/>
      <c r="V31" s="98">
        <f t="shared" si="20"/>
        <v>0</v>
      </c>
      <c r="W31" s="79" t="str">
        <f t="shared" si="7"/>
        <v>-</v>
      </c>
      <c r="X31" s="99"/>
    </row>
    <row r="32" spans="1:24" ht="15.6" customHeight="1" x14ac:dyDescent="0.2">
      <c r="A32" s="95">
        <v>15230</v>
      </c>
      <c r="B32" s="96" t="s">
        <v>263</v>
      </c>
      <c r="C32" s="97">
        <v>265505</v>
      </c>
      <c r="D32" s="97"/>
      <c r="E32" s="97"/>
      <c r="F32" s="97"/>
      <c r="G32" s="98">
        <f t="shared" si="21"/>
        <v>0</v>
      </c>
      <c r="H32" s="79" t="str">
        <f t="shared" si="22"/>
        <v>-</v>
      </c>
      <c r="I32" s="100"/>
      <c r="J32" s="97"/>
      <c r="K32" s="97"/>
      <c r="L32" s="98">
        <f t="shared" si="16"/>
        <v>0</v>
      </c>
      <c r="M32" s="79" t="str">
        <f t="shared" si="3"/>
        <v>-</v>
      </c>
      <c r="N32" s="100"/>
      <c r="O32" s="97"/>
      <c r="P32" s="97"/>
      <c r="Q32" s="98">
        <f t="shared" si="18"/>
        <v>0</v>
      </c>
      <c r="R32" s="79" t="str">
        <f t="shared" si="5"/>
        <v>-</v>
      </c>
      <c r="S32" s="100"/>
      <c r="T32" s="97"/>
      <c r="U32" s="97"/>
      <c r="V32" s="98">
        <f t="shared" si="20"/>
        <v>0</v>
      </c>
      <c r="W32" s="79" t="str">
        <f t="shared" si="7"/>
        <v>-</v>
      </c>
      <c r="X32" s="100"/>
    </row>
    <row r="33" spans="1:24" ht="15.6" customHeight="1" x14ac:dyDescent="0.2">
      <c r="A33" s="34">
        <v>15300</v>
      </c>
      <c r="B33" s="88" t="s">
        <v>161</v>
      </c>
      <c r="C33" s="19">
        <v>0</v>
      </c>
      <c r="D33" s="19">
        <v>0</v>
      </c>
      <c r="E33" s="19">
        <v>0</v>
      </c>
      <c r="F33" s="19">
        <v>0</v>
      </c>
      <c r="G33" s="89">
        <f t="shared" si="21"/>
        <v>0</v>
      </c>
      <c r="H33" s="29" t="str">
        <f t="shared" si="22"/>
        <v>-</v>
      </c>
      <c r="I33" s="100"/>
      <c r="J33" s="19">
        <v>0</v>
      </c>
      <c r="K33" s="19">
        <v>0</v>
      </c>
      <c r="L33" s="89">
        <f t="shared" si="16"/>
        <v>0</v>
      </c>
      <c r="M33" s="29" t="str">
        <f t="shared" si="3"/>
        <v>-</v>
      </c>
      <c r="N33" s="100"/>
      <c r="O33" s="19">
        <v>0</v>
      </c>
      <c r="P33" s="19">
        <v>0</v>
      </c>
      <c r="Q33" s="89">
        <f t="shared" si="18"/>
        <v>0</v>
      </c>
      <c r="R33" s="29" t="str">
        <f t="shared" si="5"/>
        <v>-</v>
      </c>
      <c r="S33" s="100"/>
      <c r="T33" s="19">
        <v>0</v>
      </c>
      <c r="U33" s="19">
        <v>0</v>
      </c>
      <c r="V33" s="89">
        <f t="shared" si="20"/>
        <v>0</v>
      </c>
      <c r="W33" s="29" t="str">
        <f t="shared" si="7"/>
        <v>-</v>
      </c>
      <c r="X33" s="100"/>
    </row>
    <row r="34" spans="1:24" ht="30.6" customHeight="1" x14ac:dyDescent="0.2">
      <c r="A34" s="131">
        <v>16000</v>
      </c>
      <c r="B34" s="132" t="s">
        <v>274</v>
      </c>
      <c r="C34" s="133">
        <f>C21-C27</f>
        <v>-1088687</v>
      </c>
      <c r="D34" s="133">
        <f>D21-D27</f>
        <v>-207747</v>
      </c>
      <c r="E34" s="133">
        <f>E21-E27</f>
        <v>-121321.53</v>
      </c>
      <c r="F34" s="133">
        <f>F21-F27</f>
        <v>0</v>
      </c>
      <c r="G34" s="134">
        <f t="shared" si="21"/>
        <v>121321.53</v>
      </c>
      <c r="H34" s="124">
        <f t="shared" si="22"/>
        <v>1</v>
      </c>
      <c r="I34" s="339"/>
      <c r="J34" s="120">
        <f>J21-J27</f>
        <v>-207746.56</v>
      </c>
      <c r="K34" s="120">
        <f>K21-K27</f>
        <v>0</v>
      </c>
      <c r="L34" s="123">
        <f t="shared" si="16"/>
        <v>207746.56</v>
      </c>
      <c r="M34" s="124">
        <f t="shared" si="3"/>
        <v>1</v>
      </c>
      <c r="N34" s="339"/>
      <c r="O34" s="120">
        <f>O21-O27</f>
        <v>-207747</v>
      </c>
      <c r="P34" s="120">
        <f>P21-P27</f>
        <v>0</v>
      </c>
      <c r="Q34" s="123">
        <f t="shared" si="18"/>
        <v>207747</v>
      </c>
      <c r="R34" s="124">
        <f t="shared" si="5"/>
        <v>1</v>
      </c>
      <c r="S34" s="339"/>
      <c r="T34" s="120">
        <f>T21-T27</f>
        <v>-207747</v>
      </c>
      <c r="U34" s="120">
        <f>U21-U27</f>
        <v>0</v>
      </c>
      <c r="V34" s="123">
        <f t="shared" si="20"/>
        <v>207747</v>
      </c>
      <c r="W34" s="124">
        <f t="shared" si="7"/>
        <v>1</v>
      </c>
      <c r="X34" s="339"/>
    </row>
    <row r="35" spans="1:24" ht="15.6" customHeight="1" x14ac:dyDescent="0.2">
      <c r="A35" s="334" t="s">
        <v>259</v>
      </c>
      <c r="B35" s="539" t="s">
        <v>164</v>
      </c>
      <c r="C35" s="539"/>
      <c r="D35" s="539"/>
      <c r="E35" s="539"/>
      <c r="F35" s="539"/>
      <c r="G35" s="539"/>
      <c r="H35" s="338" t="str">
        <f t="shared" si="22"/>
        <v>-</v>
      </c>
      <c r="I35" s="336"/>
      <c r="J35" s="337"/>
      <c r="K35" s="337"/>
      <c r="L35" s="337"/>
      <c r="M35" s="338" t="str">
        <f t="shared" si="3"/>
        <v>-</v>
      </c>
      <c r="N35" s="336"/>
      <c r="O35" s="337"/>
      <c r="P35" s="337"/>
      <c r="Q35" s="337"/>
      <c r="R35" s="338" t="str">
        <f t="shared" si="5"/>
        <v>-</v>
      </c>
      <c r="S35" s="336"/>
      <c r="T35" s="337"/>
      <c r="U35" s="337"/>
      <c r="V35" s="337"/>
      <c r="W35" s="338" t="str">
        <f t="shared" si="7"/>
        <v>-</v>
      </c>
      <c r="X35" s="336"/>
    </row>
    <row r="36" spans="1:24" ht="15.6" customHeight="1" x14ac:dyDescent="0.2">
      <c r="A36" s="135">
        <v>17000</v>
      </c>
      <c r="B36" s="136" t="s">
        <v>270</v>
      </c>
      <c r="C36" s="137">
        <f>C37+C38+C39</f>
        <v>168152</v>
      </c>
      <c r="D36" s="137">
        <f t="shared" ref="D36" si="23">D37+D38+D39</f>
        <v>0</v>
      </c>
      <c r="E36" s="137">
        <f>E37+E38+E39</f>
        <v>0</v>
      </c>
      <c r="F36" s="137">
        <f t="shared" ref="F36" si="24">F37+F38+F39</f>
        <v>0</v>
      </c>
      <c r="G36" s="138">
        <f t="shared" ref="G36:G39" si="25">F36-E36</f>
        <v>0</v>
      </c>
      <c r="H36" s="124" t="str">
        <f t="shared" si="22"/>
        <v>-</v>
      </c>
      <c r="I36" s="339"/>
      <c r="J36" s="120">
        <f>J37+J38+J39</f>
        <v>0</v>
      </c>
      <c r="K36" s="120">
        <f t="shared" ref="K36" si="26">K37+K38+K39</f>
        <v>0</v>
      </c>
      <c r="L36" s="123">
        <f t="shared" ref="L36:L54" si="27">K36-J36</f>
        <v>0</v>
      </c>
      <c r="M36" s="124" t="str">
        <f t="shared" si="3"/>
        <v>-</v>
      </c>
      <c r="N36" s="339"/>
      <c r="O36" s="120">
        <f t="shared" ref="O36:P36" si="28">O37+O38+O39</f>
        <v>0</v>
      </c>
      <c r="P36" s="120">
        <f t="shared" si="28"/>
        <v>0</v>
      </c>
      <c r="Q36" s="123">
        <f t="shared" ref="Q36:Q54" si="29">P36-O36</f>
        <v>0</v>
      </c>
      <c r="R36" s="124" t="str">
        <f t="shared" si="5"/>
        <v>-</v>
      </c>
      <c r="S36" s="339"/>
      <c r="T36" s="120">
        <f t="shared" ref="T36:U36" si="30">T37+T38+T39</f>
        <v>0</v>
      </c>
      <c r="U36" s="120">
        <f t="shared" si="30"/>
        <v>0</v>
      </c>
      <c r="V36" s="123">
        <f t="shared" ref="V36:V54" si="31">U36-T36</f>
        <v>0</v>
      </c>
      <c r="W36" s="124" t="str">
        <f t="shared" si="7"/>
        <v>-</v>
      </c>
      <c r="X36" s="339"/>
    </row>
    <row r="37" spans="1:24" ht="30.6" customHeight="1" x14ac:dyDescent="0.2">
      <c r="A37" s="101">
        <v>17100</v>
      </c>
      <c r="B37" s="102" t="s">
        <v>166</v>
      </c>
      <c r="C37" s="103"/>
      <c r="D37" s="103"/>
      <c r="E37" s="103"/>
      <c r="F37" s="103"/>
      <c r="G37" s="104">
        <f t="shared" si="25"/>
        <v>0</v>
      </c>
      <c r="H37" s="29" t="str">
        <f t="shared" si="22"/>
        <v>-</v>
      </c>
      <c r="I37" s="105"/>
      <c r="J37" s="103"/>
      <c r="K37" s="103"/>
      <c r="L37" s="104">
        <f t="shared" si="27"/>
        <v>0</v>
      </c>
      <c r="M37" s="29" t="str">
        <f t="shared" si="3"/>
        <v>-</v>
      </c>
      <c r="N37" s="105"/>
      <c r="O37" s="103"/>
      <c r="P37" s="103"/>
      <c r="Q37" s="104">
        <f t="shared" si="29"/>
        <v>0</v>
      </c>
      <c r="R37" s="29" t="str">
        <f t="shared" si="5"/>
        <v>-</v>
      </c>
      <c r="S37" s="105"/>
      <c r="T37" s="103"/>
      <c r="U37" s="103"/>
      <c r="V37" s="104">
        <f t="shared" si="31"/>
        <v>0</v>
      </c>
      <c r="W37" s="29" t="str">
        <f t="shared" si="7"/>
        <v>-</v>
      </c>
      <c r="X37" s="105"/>
    </row>
    <row r="38" spans="1:24" ht="15.6" customHeight="1" x14ac:dyDescent="0.2">
      <c r="A38" s="101">
        <v>17200</v>
      </c>
      <c r="B38" s="102" t="s">
        <v>269</v>
      </c>
      <c r="C38" s="103"/>
      <c r="D38" s="103"/>
      <c r="E38" s="103"/>
      <c r="F38" s="103"/>
      <c r="G38" s="104">
        <f t="shared" si="25"/>
        <v>0</v>
      </c>
      <c r="H38" s="29" t="str">
        <f t="shared" si="22"/>
        <v>-</v>
      </c>
      <c r="I38" s="105"/>
      <c r="J38" s="103"/>
      <c r="K38" s="103"/>
      <c r="L38" s="104">
        <f t="shared" si="27"/>
        <v>0</v>
      </c>
      <c r="M38" s="29" t="str">
        <f t="shared" si="3"/>
        <v>-</v>
      </c>
      <c r="N38" s="105"/>
      <c r="O38" s="103"/>
      <c r="P38" s="103"/>
      <c r="Q38" s="104">
        <f t="shared" si="29"/>
        <v>0</v>
      </c>
      <c r="R38" s="29" t="str">
        <f t="shared" si="5"/>
        <v>-</v>
      </c>
      <c r="S38" s="105"/>
      <c r="T38" s="103"/>
      <c r="U38" s="103"/>
      <c r="V38" s="104">
        <f t="shared" si="31"/>
        <v>0</v>
      </c>
      <c r="W38" s="29" t="str">
        <f t="shared" si="7"/>
        <v>-</v>
      </c>
      <c r="X38" s="105"/>
    </row>
    <row r="39" spans="1:24" ht="15.6" customHeight="1" x14ac:dyDescent="0.2">
      <c r="A39" s="67">
        <v>17300</v>
      </c>
      <c r="B39" s="68" t="s">
        <v>165</v>
      </c>
      <c r="C39" s="69">
        <v>168152</v>
      </c>
      <c r="D39" s="69"/>
      <c r="E39" s="69"/>
      <c r="F39" s="69"/>
      <c r="G39" s="70">
        <f t="shared" si="25"/>
        <v>0</v>
      </c>
      <c r="H39" s="71" t="str">
        <f t="shared" si="22"/>
        <v>-</v>
      </c>
      <c r="I39" s="141"/>
      <c r="J39" s="69"/>
      <c r="K39" s="69"/>
      <c r="L39" s="70">
        <f t="shared" si="27"/>
        <v>0</v>
      </c>
      <c r="M39" s="71" t="str">
        <f t="shared" si="3"/>
        <v>-</v>
      </c>
      <c r="N39" s="141"/>
      <c r="O39" s="69"/>
      <c r="P39" s="69"/>
      <c r="Q39" s="70">
        <f t="shared" si="29"/>
        <v>0</v>
      </c>
      <c r="R39" s="71" t="str">
        <f t="shared" si="5"/>
        <v>-</v>
      </c>
      <c r="S39" s="106"/>
      <c r="T39" s="69"/>
      <c r="U39" s="69"/>
      <c r="V39" s="70">
        <f t="shared" si="31"/>
        <v>0</v>
      </c>
      <c r="W39" s="71" t="str">
        <f t="shared" si="7"/>
        <v>-</v>
      </c>
      <c r="X39" s="106"/>
    </row>
    <row r="40" spans="1:24" ht="15.6" customHeight="1" x14ac:dyDescent="0.2">
      <c r="A40" s="139">
        <v>18000</v>
      </c>
      <c r="B40" s="130" t="s">
        <v>271</v>
      </c>
      <c r="C40" s="120">
        <f>C41+C42+C43</f>
        <v>0</v>
      </c>
      <c r="D40" s="120">
        <f t="shared" ref="D40" si="32">D41+D42+D43</f>
        <v>0</v>
      </c>
      <c r="E40" s="120">
        <f t="shared" ref="E40:F40" si="33">E41+E42+E43</f>
        <v>0</v>
      </c>
      <c r="F40" s="120">
        <f t="shared" si="33"/>
        <v>0</v>
      </c>
      <c r="G40" s="123">
        <f t="shared" ref="G40:G54" si="34">F40-E40</f>
        <v>0</v>
      </c>
      <c r="H40" s="124" t="str">
        <f t="shared" si="22"/>
        <v>-</v>
      </c>
      <c r="I40" s="339"/>
      <c r="J40" s="120">
        <f t="shared" ref="J40:K40" si="35">J41+J42+J43</f>
        <v>0</v>
      </c>
      <c r="K40" s="120">
        <f t="shared" si="35"/>
        <v>0</v>
      </c>
      <c r="L40" s="123">
        <f t="shared" si="27"/>
        <v>0</v>
      </c>
      <c r="M40" s="124" t="str">
        <f t="shared" si="3"/>
        <v>-</v>
      </c>
      <c r="N40" s="339"/>
      <c r="O40" s="120">
        <f t="shared" ref="O40:P40" si="36">O41+O42+O43</f>
        <v>0</v>
      </c>
      <c r="P40" s="120">
        <f t="shared" si="36"/>
        <v>0</v>
      </c>
      <c r="Q40" s="123">
        <f t="shared" si="29"/>
        <v>0</v>
      </c>
      <c r="R40" s="124" t="str">
        <f t="shared" si="5"/>
        <v>-</v>
      </c>
      <c r="S40" s="339"/>
      <c r="T40" s="120">
        <f t="shared" ref="T40:U40" si="37">T41+T42+T43</f>
        <v>0</v>
      </c>
      <c r="U40" s="120">
        <f t="shared" si="37"/>
        <v>0</v>
      </c>
      <c r="V40" s="123">
        <f t="shared" si="31"/>
        <v>0</v>
      </c>
      <c r="W40" s="124" t="str">
        <f t="shared" si="7"/>
        <v>-</v>
      </c>
      <c r="X40" s="339"/>
    </row>
    <row r="41" spans="1:24" ht="15.6" customHeight="1" x14ac:dyDescent="0.2">
      <c r="A41" s="107">
        <v>18100</v>
      </c>
      <c r="B41" s="16" t="s">
        <v>272</v>
      </c>
      <c r="C41" s="103"/>
      <c r="D41" s="103"/>
      <c r="E41" s="103"/>
      <c r="F41" s="103"/>
      <c r="G41" s="104">
        <f t="shared" si="34"/>
        <v>0</v>
      </c>
      <c r="H41" s="29" t="str">
        <f t="shared" si="22"/>
        <v>-</v>
      </c>
      <c r="I41" s="108"/>
      <c r="J41" s="103"/>
      <c r="K41" s="103"/>
      <c r="L41" s="104">
        <f t="shared" si="27"/>
        <v>0</v>
      </c>
      <c r="M41" s="29" t="str">
        <f t="shared" si="3"/>
        <v>-</v>
      </c>
      <c r="N41" s="108"/>
      <c r="O41" s="103"/>
      <c r="P41" s="103"/>
      <c r="Q41" s="104">
        <f t="shared" si="29"/>
        <v>0</v>
      </c>
      <c r="R41" s="29" t="str">
        <f t="shared" si="5"/>
        <v>-</v>
      </c>
      <c r="S41" s="108"/>
      <c r="T41" s="103"/>
      <c r="U41" s="103"/>
      <c r="V41" s="104">
        <f t="shared" si="31"/>
        <v>0</v>
      </c>
      <c r="W41" s="29" t="str">
        <f t="shared" si="7"/>
        <v>-</v>
      </c>
      <c r="X41" s="108"/>
    </row>
    <row r="42" spans="1:24" ht="15.6" customHeight="1" x14ac:dyDescent="0.2">
      <c r="A42" s="107">
        <v>18200</v>
      </c>
      <c r="B42" s="16" t="s">
        <v>167</v>
      </c>
      <c r="C42" s="103"/>
      <c r="D42" s="103"/>
      <c r="E42" s="103"/>
      <c r="F42" s="103"/>
      <c r="G42" s="104">
        <f t="shared" si="34"/>
        <v>0</v>
      </c>
      <c r="H42" s="29" t="str">
        <f t="shared" si="22"/>
        <v>-</v>
      </c>
      <c r="I42" s="108"/>
      <c r="J42" s="103"/>
      <c r="K42" s="103"/>
      <c r="L42" s="104">
        <f t="shared" si="27"/>
        <v>0</v>
      </c>
      <c r="M42" s="29" t="str">
        <f t="shared" si="3"/>
        <v>-</v>
      </c>
      <c r="N42" s="108"/>
      <c r="O42" s="103"/>
      <c r="P42" s="103"/>
      <c r="Q42" s="104">
        <f t="shared" si="29"/>
        <v>0</v>
      </c>
      <c r="R42" s="29" t="str">
        <f t="shared" si="5"/>
        <v>-</v>
      </c>
      <c r="S42" s="108"/>
      <c r="T42" s="103"/>
      <c r="U42" s="103"/>
      <c r="V42" s="104">
        <f t="shared" si="31"/>
        <v>0</v>
      </c>
      <c r="W42" s="29" t="str">
        <f t="shared" si="7"/>
        <v>-</v>
      </c>
      <c r="X42" s="108"/>
    </row>
    <row r="43" spans="1:24" ht="15.6" customHeight="1" x14ac:dyDescent="0.2">
      <c r="A43" s="107">
        <v>18300</v>
      </c>
      <c r="B43" s="16" t="s">
        <v>168</v>
      </c>
      <c r="C43" s="103"/>
      <c r="D43" s="103"/>
      <c r="E43" s="103"/>
      <c r="F43" s="103"/>
      <c r="G43" s="104">
        <f t="shared" si="34"/>
        <v>0</v>
      </c>
      <c r="H43" s="29" t="str">
        <f t="shared" si="22"/>
        <v>-</v>
      </c>
      <c r="I43" s="108"/>
      <c r="J43" s="103"/>
      <c r="K43" s="103"/>
      <c r="L43" s="104">
        <f t="shared" si="27"/>
        <v>0</v>
      </c>
      <c r="M43" s="29" t="str">
        <f t="shared" si="3"/>
        <v>-</v>
      </c>
      <c r="N43" s="108"/>
      <c r="O43" s="103"/>
      <c r="P43" s="103"/>
      <c r="Q43" s="104">
        <f t="shared" si="29"/>
        <v>0</v>
      </c>
      <c r="R43" s="29" t="str">
        <f t="shared" si="5"/>
        <v>-</v>
      </c>
      <c r="S43" s="108"/>
      <c r="T43" s="103"/>
      <c r="U43" s="103"/>
      <c r="V43" s="104">
        <f t="shared" si="31"/>
        <v>0</v>
      </c>
      <c r="W43" s="29" t="str">
        <f t="shared" si="7"/>
        <v>-</v>
      </c>
      <c r="X43" s="108"/>
    </row>
    <row r="44" spans="1:24" ht="30.6" customHeight="1" x14ac:dyDescent="0.2">
      <c r="A44" s="118">
        <v>19000</v>
      </c>
      <c r="B44" s="140" t="s">
        <v>273</v>
      </c>
      <c r="C44" s="120">
        <f>C36-C40</f>
        <v>168152</v>
      </c>
      <c r="D44" s="120">
        <f>D36-D40</f>
        <v>0</v>
      </c>
      <c r="E44" s="120">
        <f>E36-E40</f>
        <v>0</v>
      </c>
      <c r="F44" s="120">
        <f>F36-F40</f>
        <v>0</v>
      </c>
      <c r="G44" s="123">
        <f t="shared" si="34"/>
        <v>0</v>
      </c>
      <c r="H44" s="124" t="str">
        <f t="shared" si="22"/>
        <v>-</v>
      </c>
      <c r="I44" s="339"/>
      <c r="J44" s="120">
        <f>J36-J40</f>
        <v>0</v>
      </c>
      <c r="K44" s="120">
        <f>K36-K40</f>
        <v>0</v>
      </c>
      <c r="L44" s="123">
        <f t="shared" si="27"/>
        <v>0</v>
      </c>
      <c r="M44" s="124" t="str">
        <f t="shared" si="3"/>
        <v>-</v>
      </c>
      <c r="N44" s="339"/>
      <c r="O44" s="120">
        <f>O36-O40</f>
        <v>0</v>
      </c>
      <c r="P44" s="120">
        <f>P36-P40</f>
        <v>0</v>
      </c>
      <c r="Q44" s="123">
        <f t="shared" si="29"/>
        <v>0</v>
      </c>
      <c r="R44" s="124" t="str">
        <f t="shared" si="5"/>
        <v>-</v>
      </c>
      <c r="S44" s="339"/>
      <c r="T44" s="120">
        <f>T36-T40</f>
        <v>0</v>
      </c>
      <c r="U44" s="120">
        <f>U36-U40</f>
        <v>0</v>
      </c>
      <c r="V44" s="123">
        <f t="shared" si="31"/>
        <v>0</v>
      </c>
      <c r="W44" s="124" t="str">
        <f t="shared" si="7"/>
        <v>-</v>
      </c>
      <c r="X44" s="339"/>
    </row>
    <row r="45" spans="1:24" ht="15.6" customHeight="1" x14ac:dyDescent="0.2">
      <c r="A45" s="109">
        <v>20100</v>
      </c>
      <c r="B45" s="110" t="s">
        <v>169</v>
      </c>
      <c r="C45" s="111"/>
      <c r="D45" s="112"/>
      <c r="E45" s="111"/>
      <c r="F45" s="111"/>
      <c r="G45" s="113">
        <f t="shared" si="34"/>
        <v>0</v>
      </c>
      <c r="H45" s="114" t="str">
        <f t="shared" si="22"/>
        <v>-</v>
      </c>
      <c r="I45" s="105"/>
      <c r="J45" s="111"/>
      <c r="K45" s="111"/>
      <c r="L45" s="113">
        <f t="shared" si="27"/>
        <v>0</v>
      </c>
      <c r="M45" s="114" t="str">
        <f t="shared" si="3"/>
        <v>-</v>
      </c>
      <c r="N45" s="105"/>
      <c r="O45" s="111"/>
      <c r="P45" s="111"/>
      <c r="Q45" s="113">
        <f t="shared" si="29"/>
        <v>0</v>
      </c>
      <c r="R45" s="114" t="str">
        <f t="shared" si="5"/>
        <v>-</v>
      </c>
      <c r="S45" s="105"/>
      <c r="T45" s="111"/>
      <c r="U45" s="111"/>
      <c r="V45" s="113">
        <f t="shared" si="31"/>
        <v>0</v>
      </c>
      <c r="W45" s="114" t="str">
        <f t="shared" si="7"/>
        <v>-</v>
      </c>
      <c r="X45" s="105"/>
    </row>
    <row r="46" spans="1:24" ht="31.5" customHeight="1" x14ac:dyDescent="0.2">
      <c r="A46" s="109">
        <v>20200</v>
      </c>
      <c r="B46" s="110" t="s">
        <v>170</v>
      </c>
      <c r="C46" s="111"/>
      <c r="D46" s="112"/>
      <c r="E46" s="111"/>
      <c r="F46" s="111"/>
      <c r="G46" s="113">
        <f t="shared" si="34"/>
        <v>0</v>
      </c>
      <c r="H46" s="114" t="str">
        <f t="shared" si="22"/>
        <v>-</v>
      </c>
      <c r="I46" s="105"/>
      <c r="J46" s="111"/>
      <c r="K46" s="111"/>
      <c r="L46" s="113">
        <f t="shared" si="27"/>
        <v>0</v>
      </c>
      <c r="M46" s="114" t="str">
        <f t="shared" si="3"/>
        <v>-</v>
      </c>
      <c r="N46" s="105"/>
      <c r="O46" s="111"/>
      <c r="P46" s="111"/>
      <c r="Q46" s="113">
        <f t="shared" si="29"/>
        <v>0</v>
      </c>
      <c r="R46" s="114" t="str">
        <f t="shared" si="5"/>
        <v>-</v>
      </c>
      <c r="S46" s="105"/>
      <c r="T46" s="111"/>
      <c r="U46" s="111"/>
      <c r="V46" s="113">
        <f t="shared" si="31"/>
        <v>0</v>
      </c>
      <c r="W46" s="114" t="str">
        <f t="shared" si="7"/>
        <v>-</v>
      </c>
      <c r="X46" s="105"/>
    </row>
    <row r="47" spans="1:24" ht="15.6" customHeight="1" x14ac:dyDescent="0.2">
      <c r="A47" s="118">
        <v>21000</v>
      </c>
      <c r="B47" s="125" t="s">
        <v>171</v>
      </c>
      <c r="C47" s="121">
        <f>C3+C19+C34+C44+C45+C46</f>
        <v>327840.4299999997</v>
      </c>
      <c r="D47" s="121">
        <f>D3+D19+D34+D44+D45+D46</f>
        <v>598788.4299999997</v>
      </c>
      <c r="E47" s="121">
        <f>E3+E19+E34+E44+E45+E46</f>
        <v>1009718.0400000003</v>
      </c>
      <c r="F47" s="121">
        <f>F3+F19+F34+F44+F45+F46</f>
        <v>0</v>
      </c>
      <c r="G47" s="122">
        <f t="shared" si="34"/>
        <v>-1009718.0400000003</v>
      </c>
      <c r="H47" s="30">
        <f t="shared" ref="H47:H54" si="38">IFERROR(G47/ABS(E47), "-")</f>
        <v>-1</v>
      </c>
      <c r="I47" s="540"/>
      <c r="J47" s="121">
        <f>J49+J51+J52</f>
        <v>911926</v>
      </c>
      <c r="K47" s="121">
        <f>K3+K19+K34+K44+K45+K46</f>
        <v>0</v>
      </c>
      <c r="L47" s="122">
        <f t="shared" si="27"/>
        <v>-911926</v>
      </c>
      <c r="M47" s="30">
        <f t="shared" si="3"/>
        <v>-1</v>
      </c>
      <c r="N47" s="536"/>
      <c r="O47" s="121">
        <f>O3+O19+O34+O44+O45+O46</f>
        <v>462276.4299999997</v>
      </c>
      <c r="P47" s="121">
        <f>P3+P19+P34+P44+P45+P46</f>
        <v>0</v>
      </c>
      <c r="Q47" s="122">
        <f t="shared" si="29"/>
        <v>-462276.4299999997</v>
      </c>
      <c r="R47" s="30">
        <f t="shared" si="5"/>
        <v>-1</v>
      </c>
      <c r="S47" s="536"/>
      <c r="T47" s="121">
        <f>T3+T19+T34+T44+T45+T46</f>
        <v>598788.4299999997</v>
      </c>
      <c r="U47" s="121">
        <f>U3+U19+U34+U44+U45+U46</f>
        <v>0</v>
      </c>
      <c r="V47" s="122">
        <f t="shared" si="31"/>
        <v>-598788.4299999997</v>
      </c>
      <c r="W47" s="30">
        <f t="shared" si="7"/>
        <v>-1</v>
      </c>
      <c r="X47" s="536"/>
    </row>
    <row r="48" spans="1:24" ht="15.6" customHeight="1" x14ac:dyDescent="0.2">
      <c r="A48" s="115">
        <v>21100</v>
      </c>
      <c r="B48" s="116" t="s">
        <v>172</v>
      </c>
      <c r="C48" s="111"/>
      <c r="D48" s="117"/>
      <c r="E48" s="111"/>
      <c r="F48" s="111"/>
      <c r="G48" s="113">
        <f t="shared" si="34"/>
        <v>0</v>
      </c>
      <c r="H48" s="114" t="str">
        <f t="shared" si="38"/>
        <v>-</v>
      </c>
      <c r="I48" s="541"/>
      <c r="J48" s="111"/>
      <c r="K48" s="111"/>
      <c r="L48" s="113">
        <f t="shared" si="27"/>
        <v>0</v>
      </c>
      <c r="M48" s="114" t="str">
        <f t="shared" si="3"/>
        <v>-</v>
      </c>
      <c r="N48" s="537"/>
      <c r="O48" s="111"/>
      <c r="P48" s="111"/>
      <c r="Q48" s="113">
        <f>P48-O48</f>
        <v>0</v>
      </c>
      <c r="R48" s="114" t="str">
        <f>IFERROR(Q48/ABS(O48), "-")</f>
        <v>-</v>
      </c>
      <c r="S48" s="537"/>
      <c r="T48" s="111"/>
      <c r="U48" s="111"/>
      <c r="V48" s="113">
        <f t="shared" si="31"/>
        <v>0</v>
      </c>
      <c r="W48" s="114" t="str">
        <f t="shared" si="7"/>
        <v>-</v>
      </c>
      <c r="X48" s="537"/>
    </row>
    <row r="49" spans="1:24" ht="15.6" customHeight="1" x14ac:dyDescent="0.2">
      <c r="A49" s="115">
        <v>21200</v>
      </c>
      <c r="B49" s="116" t="s">
        <v>173</v>
      </c>
      <c r="C49" s="111">
        <v>168152</v>
      </c>
      <c r="D49" s="111">
        <v>168152</v>
      </c>
      <c r="E49" s="111">
        <v>168152.34</v>
      </c>
      <c r="F49" s="111"/>
      <c r="G49" s="113">
        <f t="shared" si="34"/>
        <v>-168152.34</v>
      </c>
      <c r="H49" s="114">
        <f t="shared" si="38"/>
        <v>-1</v>
      </c>
      <c r="I49" s="541"/>
      <c r="J49" s="111">
        <v>168152</v>
      </c>
      <c r="K49" s="111"/>
      <c r="L49" s="113">
        <f t="shared" si="27"/>
        <v>-168152</v>
      </c>
      <c r="M49" s="114">
        <f t="shared" si="3"/>
        <v>-1</v>
      </c>
      <c r="N49" s="537"/>
      <c r="O49" s="111">
        <v>168152</v>
      </c>
      <c r="P49" s="111"/>
      <c r="Q49" s="113">
        <f>P49-O49</f>
        <v>-168152</v>
      </c>
      <c r="R49" s="114">
        <f>IFERROR(Q49/ABS(O49), "-")</f>
        <v>-1</v>
      </c>
      <c r="S49" s="537"/>
      <c r="T49" s="111">
        <v>168152</v>
      </c>
      <c r="U49" s="111"/>
      <c r="V49" s="113">
        <f t="shared" si="31"/>
        <v>-168152</v>
      </c>
      <c r="W49" s="114">
        <f t="shared" si="7"/>
        <v>-1</v>
      </c>
      <c r="X49" s="537"/>
    </row>
    <row r="50" spans="1:24" ht="15.6" customHeight="1" x14ac:dyDescent="0.2">
      <c r="A50" s="115">
        <v>21300</v>
      </c>
      <c r="B50" s="116" t="s">
        <v>174</v>
      </c>
      <c r="C50" s="111"/>
      <c r="D50" s="117"/>
      <c r="E50" s="111"/>
      <c r="F50" s="111"/>
      <c r="G50" s="113">
        <f t="shared" si="34"/>
        <v>0</v>
      </c>
      <c r="H50" s="114" t="str">
        <f t="shared" si="38"/>
        <v>-</v>
      </c>
      <c r="I50" s="541"/>
      <c r="J50" s="111"/>
      <c r="K50" s="111"/>
      <c r="L50" s="113">
        <f t="shared" si="27"/>
        <v>0</v>
      </c>
      <c r="M50" s="114" t="str">
        <f t="shared" si="3"/>
        <v>-</v>
      </c>
      <c r="N50" s="537"/>
      <c r="O50" s="111"/>
      <c r="P50" s="111"/>
      <c r="Q50" s="113">
        <f t="shared" si="29"/>
        <v>0</v>
      </c>
      <c r="R50" s="114" t="str">
        <f t="shared" si="5"/>
        <v>-</v>
      </c>
      <c r="S50" s="537"/>
      <c r="T50" s="111"/>
      <c r="U50" s="111"/>
      <c r="V50" s="113">
        <f t="shared" si="31"/>
        <v>0</v>
      </c>
      <c r="W50" s="114" t="str">
        <f t="shared" si="7"/>
        <v>-</v>
      </c>
      <c r="X50" s="537"/>
    </row>
    <row r="51" spans="1:24" ht="15.6" customHeight="1" x14ac:dyDescent="0.2">
      <c r="A51" s="115">
        <v>21400</v>
      </c>
      <c r="B51" s="116" t="s">
        <v>175</v>
      </c>
      <c r="C51" s="111">
        <v>1168</v>
      </c>
      <c r="D51" s="111">
        <v>1168</v>
      </c>
      <c r="E51" s="111">
        <v>1168</v>
      </c>
      <c r="F51" s="111"/>
      <c r="G51" s="113">
        <f t="shared" si="34"/>
        <v>-1168</v>
      </c>
      <c r="H51" s="114">
        <f t="shared" si="38"/>
        <v>-1</v>
      </c>
      <c r="I51" s="541"/>
      <c r="J51" s="111">
        <v>1168</v>
      </c>
      <c r="K51" s="111"/>
      <c r="L51" s="113">
        <f t="shared" si="27"/>
        <v>-1168</v>
      </c>
      <c r="M51" s="114">
        <f t="shared" si="3"/>
        <v>-1</v>
      </c>
      <c r="N51" s="537"/>
      <c r="O51" s="111">
        <v>1168</v>
      </c>
      <c r="P51" s="111"/>
      <c r="Q51" s="113">
        <f t="shared" si="29"/>
        <v>-1168</v>
      </c>
      <c r="R51" s="114">
        <f t="shared" si="5"/>
        <v>-1</v>
      </c>
      <c r="S51" s="537"/>
      <c r="T51" s="111">
        <v>1168</v>
      </c>
      <c r="U51" s="111"/>
      <c r="V51" s="113">
        <f t="shared" si="31"/>
        <v>-1168</v>
      </c>
      <c r="W51" s="114">
        <f t="shared" si="7"/>
        <v>-1</v>
      </c>
      <c r="X51" s="537"/>
    </row>
    <row r="52" spans="1:24" ht="15.6" customHeight="1" x14ac:dyDescent="0.2">
      <c r="A52" s="115">
        <v>21500</v>
      </c>
      <c r="B52" s="116" t="s">
        <v>176</v>
      </c>
      <c r="C52" s="111">
        <v>158520</v>
      </c>
      <c r="D52" s="111">
        <v>429468</v>
      </c>
      <c r="E52" s="111">
        <v>840398</v>
      </c>
      <c r="F52" s="111"/>
      <c r="G52" s="113">
        <f t="shared" si="34"/>
        <v>-840398</v>
      </c>
      <c r="H52" s="114">
        <f t="shared" si="38"/>
        <v>-1</v>
      </c>
      <c r="I52" s="541"/>
      <c r="J52" s="111">
        <v>742606</v>
      </c>
      <c r="K52" s="111"/>
      <c r="L52" s="113">
        <f t="shared" si="27"/>
        <v>-742606</v>
      </c>
      <c r="M52" s="114">
        <f t="shared" si="3"/>
        <v>-1</v>
      </c>
      <c r="N52" s="537"/>
      <c r="O52" s="111">
        <f>293076-120</f>
        <v>292956</v>
      </c>
      <c r="P52" s="111"/>
      <c r="Q52" s="113">
        <f t="shared" si="29"/>
        <v>-292956</v>
      </c>
      <c r="R52" s="114">
        <f t="shared" si="5"/>
        <v>-1</v>
      </c>
      <c r="S52" s="537"/>
      <c r="T52" s="111">
        <v>429468</v>
      </c>
      <c r="U52" s="111"/>
      <c r="V52" s="113">
        <f t="shared" si="31"/>
        <v>-429468</v>
      </c>
      <c r="W52" s="114">
        <f t="shared" si="7"/>
        <v>-1</v>
      </c>
      <c r="X52" s="537"/>
    </row>
    <row r="53" spans="1:24" ht="15.6" customHeight="1" x14ac:dyDescent="0.2">
      <c r="A53" s="115">
        <v>21600</v>
      </c>
      <c r="B53" s="116" t="s">
        <v>177</v>
      </c>
      <c r="C53" s="111"/>
      <c r="D53" s="117"/>
      <c r="E53" s="111"/>
      <c r="F53" s="111"/>
      <c r="G53" s="113">
        <f t="shared" si="34"/>
        <v>0</v>
      </c>
      <c r="H53" s="114" t="str">
        <f t="shared" si="38"/>
        <v>-</v>
      </c>
      <c r="I53" s="541"/>
      <c r="J53" s="111"/>
      <c r="K53" s="111"/>
      <c r="L53" s="113">
        <f t="shared" si="27"/>
        <v>0</v>
      </c>
      <c r="M53" s="114" t="str">
        <f t="shared" si="3"/>
        <v>-</v>
      </c>
      <c r="N53" s="537"/>
      <c r="O53" s="111"/>
      <c r="P53" s="111"/>
      <c r="Q53" s="113">
        <f t="shared" si="29"/>
        <v>0</v>
      </c>
      <c r="R53" s="114" t="str">
        <f t="shared" si="5"/>
        <v>-</v>
      </c>
      <c r="S53" s="537"/>
      <c r="T53" s="111"/>
      <c r="U53" s="111"/>
      <c r="V53" s="113">
        <f t="shared" si="31"/>
        <v>0</v>
      </c>
      <c r="W53" s="114" t="str">
        <f t="shared" si="7"/>
        <v>-</v>
      </c>
      <c r="X53" s="537"/>
    </row>
    <row r="54" spans="1:24" ht="15.6" customHeight="1" x14ac:dyDescent="0.2">
      <c r="A54" s="115">
        <v>21700</v>
      </c>
      <c r="B54" s="116" t="s">
        <v>178</v>
      </c>
      <c r="C54" s="111"/>
      <c r="D54" s="117"/>
      <c r="E54" s="111"/>
      <c r="F54" s="111"/>
      <c r="G54" s="113">
        <f t="shared" si="34"/>
        <v>0</v>
      </c>
      <c r="H54" s="114" t="str">
        <f t="shared" si="38"/>
        <v>-</v>
      </c>
      <c r="I54" s="542"/>
      <c r="J54" s="111"/>
      <c r="K54" s="111"/>
      <c r="L54" s="113">
        <f t="shared" si="27"/>
        <v>0</v>
      </c>
      <c r="M54" s="114" t="str">
        <f t="shared" si="3"/>
        <v>-</v>
      </c>
      <c r="N54" s="538"/>
      <c r="O54" s="111"/>
      <c r="P54" s="111"/>
      <c r="Q54" s="113">
        <f t="shared" si="29"/>
        <v>0</v>
      </c>
      <c r="R54" s="114" t="str">
        <f t="shared" si="5"/>
        <v>-</v>
      </c>
      <c r="S54" s="538"/>
      <c r="T54" s="111"/>
      <c r="U54" s="111"/>
      <c r="V54" s="113">
        <f t="shared" si="31"/>
        <v>0</v>
      </c>
      <c r="W54" s="114" t="str">
        <f t="shared" si="7"/>
        <v>-</v>
      </c>
      <c r="X54" s="538"/>
    </row>
    <row r="55" spans="1:24" x14ac:dyDescent="0.2">
      <c r="A55" s="197"/>
      <c r="B55" s="198"/>
      <c r="C55" s="199"/>
      <c r="D55" s="200"/>
      <c r="E55" s="199"/>
      <c r="F55" s="199"/>
      <c r="G55" s="201"/>
      <c r="H55" s="202"/>
      <c r="I55" s="203"/>
      <c r="J55" s="199"/>
      <c r="K55" s="199"/>
      <c r="L55" s="201"/>
      <c r="M55" s="202"/>
      <c r="N55" s="203"/>
      <c r="O55" s="199"/>
      <c r="P55" s="199"/>
      <c r="Q55" s="201"/>
      <c r="R55" s="202"/>
      <c r="S55" s="203"/>
      <c r="T55" s="199"/>
      <c r="U55" s="199"/>
      <c r="V55" s="201"/>
      <c r="W55" s="202"/>
      <c r="X55" s="203"/>
    </row>
    <row r="56" spans="1:24" x14ac:dyDescent="0.2">
      <c r="A56" s="31" t="s">
        <v>442</v>
      </c>
      <c r="B56" s="42"/>
      <c r="C56" s="42"/>
      <c r="D56" s="42"/>
      <c r="E56" s="42"/>
      <c r="F56" s="42"/>
      <c r="G56" s="55"/>
      <c r="H56" s="55"/>
      <c r="I56" s="42"/>
      <c r="J56" s="42"/>
      <c r="K56" s="42"/>
      <c r="L56" s="55"/>
      <c r="M56" s="55"/>
      <c r="N56" s="42"/>
      <c r="O56" s="42"/>
      <c r="P56" s="199"/>
      <c r="Q56" s="201"/>
      <c r="R56" s="202"/>
      <c r="S56" s="203"/>
      <c r="T56" s="199"/>
      <c r="U56" s="199"/>
      <c r="V56" s="201"/>
      <c r="W56" s="202"/>
      <c r="X56" s="203"/>
    </row>
    <row r="57" spans="1:24" ht="36.6" customHeight="1" x14ac:dyDescent="0.2">
      <c r="A57" s="529" t="s">
        <v>526</v>
      </c>
      <c r="B57" s="529"/>
      <c r="C57" s="529"/>
      <c r="D57" s="529"/>
      <c r="E57" s="529"/>
      <c r="F57" s="529"/>
      <c r="G57" s="529"/>
      <c r="H57" s="65"/>
      <c r="I57" s="65"/>
      <c r="J57" s="65"/>
      <c r="K57" s="65"/>
      <c r="L57" s="65"/>
      <c r="M57" s="65"/>
      <c r="N57" s="65"/>
      <c r="O57" s="65"/>
    </row>
  </sheetData>
  <sheetProtection formatColumns="0" formatRows="0" insertRows="0" deleteRows="0"/>
  <mergeCells count="8">
    <mergeCell ref="A57:G57"/>
    <mergeCell ref="S47:S54"/>
    <mergeCell ref="X47:X54"/>
    <mergeCell ref="B4:G4"/>
    <mergeCell ref="B20:G20"/>
    <mergeCell ref="B35:G35"/>
    <mergeCell ref="I47:I54"/>
    <mergeCell ref="N47:N54"/>
  </mergeCells>
  <pageMargins left="0.23622047244094491" right="0.23622047244094491" top="0.74803149606299213" bottom="0.74803149606299213" header="0.31496062992125984" footer="0.31496062992125984"/>
  <pageSetup paperSize="9" scale="24" fitToHeight="0" orientation="landscape" r:id="rId1"/>
  <headerFooter>
    <oddHeader>&amp;C&amp;"Times New Roman,Bold"&amp;14Naudas plūsmas pārskats&amp;R&amp;"Times New Roman,Regular"&amp;14 4.pielikums</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X105"/>
  <sheetViews>
    <sheetView zoomScale="80" zoomScaleNormal="80" zoomScaleSheetLayoutView="90" zoomScalePageLayoutView="40" workbookViewId="0">
      <pane ySplit="1" topLeftCell="A2" activePane="bottomLeft" state="frozen"/>
      <selection pane="bottomLeft" activeCell="E64" sqref="E64"/>
    </sheetView>
  </sheetViews>
  <sheetFormatPr defaultColWidth="9.140625" defaultRowHeight="18.75" outlineLevelCol="1" x14ac:dyDescent="0.2"/>
  <cols>
    <col min="1" max="1" width="9.5703125" style="11" customWidth="1"/>
    <col min="2" max="2" width="50.28515625" style="11" customWidth="1"/>
    <col min="3" max="3" width="15.85546875" style="11" customWidth="1"/>
    <col min="4" max="4" width="15.5703125" style="12" customWidth="1"/>
    <col min="5" max="5" width="22" style="11" customWidth="1"/>
    <col min="6" max="6" width="20.5703125" style="11" customWidth="1" outlineLevel="1"/>
    <col min="7" max="7" width="22.5703125" style="11" customWidth="1" outlineLevel="1"/>
    <col min="8" max="8" width="19.28515625" style="14" customWidth="1" outlineLevel="1"/>
    <col min="9" max="9" width="72.85546875" style="14" customWidth="1" outlineLevel="1"/>
    <col min="10" max="10" width="22" style="11" customWidth="1"/>
    <col min="11" max="11" width="20.5703125" style="11" customWidth="1" outlineLevel="1"/>
    <col min="12" max="12" width="22.5703125" style="11" customWidth="1" outlineLevel="1"/>
    <col min="13" max="13" width="19.28515625" style="14" customWidth="1" outlineLevel="1"/>
    <col min="14" max="14" width="26.42578125" style="14" customWidth="1" outlineLevel="1"/>
    <col min="15" max="15" width="22" style="11" customWidth="1"/>
    <col min="16" max="16" width="20.5703125" style="11" customWidth="1" outlineLevel="1"/>
    <col min="17" max="17" width="22.5703125" style="11" customWidth="1" outlineLevel="1"/>
    <col min="18" max="18" width="19.28515625" style="14" customWidth="1" outlineLevel="1"/>
    <col min="19" max="19" width="26.42578125" style="14" customWidth="1" outlineLevel="1"/>
    <col min="20" max="20" width="22" style="11" customWidth="1"/>
    <col min="21" max="21" width="20.5703125" style="11" customWidth="1" outlineLevel="1"/>
    <col min="22" max="22" width="22.5703125" style="11" customWidth="1" outlineLevel="1"/>
    <col min="23" max="23" width="19.28515625" style="14" customWidth="1" outlineLevel="1"/>
    <col min="24" max="24" width="26.42578125" style="14" customWidth="1" outlineLevel="1"/>
    <col min="25" max="16384" width="9.140625" style="11"/>
  </cols>
  <sheetData>
    <row r="1" spans="1:24" ht="63" x14ac:dyDescent="0.2">
      <c r="A1" s="101" t="s">
        <v>0</v>
      </c>
      <c r="B1" s="206" t="s">
        <v>349</v>
      </c>
      <c r="C1" s="25" t="s">
        <v>568</v>
      </c>
      <c r="D1" s="25" t="s">
        <v>569</v>
      </c>
      <c r="E1" s="25" t="s">
        <v>570</v>
      </c>
      <c r="F1" s="25" t="s">
        <v>581</v>
      </c>
      <c r="G1" s="26" t="s">
        <v>573</v>
      </c>
      <c r="H1" s="27" t="s">
        <v>574</v>
      </c>
      <c r="I1" s="25" t="s">
        <v>509</v>
      </c>
      <c r="J1" s="25" t="s">
        <v>571</v>
      </c>
      <c r="K1" s="25" t="s">
        <v>430</v>
      </c>
      <c r="L1" s="26" t="s">
        <v>404</v>
      </c>
      <c r="M1" s="27" t="s">
        <v>405</v>
      </c>
      <c r="N1" s="25" t="s">
        <v>509</v>
      </c>
      <c r="O1" s="25" t="s">
        <v>576</v>
      </c>
      <c r="P1" s="25" t="s">
        <v>431</v>
      </c>
      <c r="Q1" s="26" t="s">
        <v>404</v>
      </c>
      <c r="R1" s="27" t="s">
        <v>405</v>
      </c>
      <c r="S1" s="25" t="s">
        <v>509</v>
      </c>
      <c r="T1" s="25" t="s">
        <v>578</v>
      </c>
      <c r="U1" s="25" t="s">
        <v>432</v>
      </c>
      <c r="V1" s="26" t="s">
        <v>404</v>
      </c>
      <c r="W1" s="27" t="s">
        <v>405</v>
      </c>
      <c r="X1" s="25" t="s">
        <v>509</v>
      </c>
    </row>
    <row r="2" spans="1:24" ht="12" customHeight="1" x14ac:dyDescent="0.2">
      <c r="A2" s="34">
        <v>1</v>
      </c>
      <c r="B2" s="25">
        <v>2</v>
      </c>
      <c r="C2" s="25">
        <v>3</v>
      </c>
      <c r="D2" s="25">
        <v>4</v>
      </c>
      <c r="E2" s="25">
        <v>5</v>
      </c>
      <c r="F2" s="25">
        <v>6</v>
      </c>
      <c r="G2" s="26">
        <v>7</v>
      </c>
      <c r="H2" s="28">
        <v>8</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4" ht="18" customHeight="1" x14ac:dyDescent="0.2">
      <c r="A3" s="316" t="s">
        <v>248</v>
      </c>
      <c r="B3" s="317" t="s">
        <v>360</v>
      </c>
      <c r="C3" s="318" t="s">
        <v>183</v>
      </c>
      <c r="D3" s="318" t="s">
        <v>183</v>
      </c>
      <c r="E3" s="319" t="s">
        <v>183</v>
      </c>
      <c r="F3" s="320" t="s">
        <v>183</v>
      </c>
      <c r="G3" s="440" t="s">
        <v>183</v>
      </c>
      <c r="H3" s="321" t="s">
        <v>183</v>
      </c>
      <c r="I3" s="321" t="s">
        <v>183</v>
      </c>
      <c r="J3" s="319" t="s">
        <v>183</v>
      </c>
      <c r="K3" s="320" t="s">
        <v>183</v>
      </c>
      <c r="L3" s="320" t="s">
        <v>183</v>
      </c>
      <c r="M3" s="321" t="s">
        <v>183</v>
      </c>
      <c r="N3" s="321" t="s">
        <v>183</v>
      </c>
      <c r="O3" s="319" t="s">
        <v>183</v>
      </c>
      <c r="P3" s="320" t="s">
        <v>183</v>
      </c>
      <c r="Q3" s="320" t="s">
        <v>183</v>
      </c>
      <c r="R3" s="321" t="s">
        <v>183</v>
      </c>
      <c r="S3" s="321" t="s">
        <v>183</v>
      </c>
      <c r="T3" s="319" t="s">
        <v>183</v>
      </c>
      <c r="U3" s="320" t="s">
        <v>183</v>
      </c>
      <c r="V3" s="320" t="s">
        <v>183</v>
      </c>
      <c r="W3" s="321" t="s">
        <v>183</v>
      </c>
      <c r="X3" s="321" t="s">
        <v>183</v>
      </c>
    </row>
    <row r="4" spans="1:24" ht="51" customHeight="1" x14ac:dyDescent="0.2">
      <c r="A4" s="225" t="s">
        <v>247</v>
      </c>
      <c r="B4" s="132" t="s">
        <v>361</v>
      </c>
      <c r="C4" s="226" t="s">
        <v>183</v>
      </c>
      <c r="D4" s="226" t="s">
        <v>183</v>
      </c>
      <c r="E4" s="227" t="s">
        <v>183</v>
      </c>
      <c r="F4" s="227" t="s">
        <v>183</v>
      </c>
      <c r="G4" s="123" t="s">
        <v>183</v>
      </c>
      <c r="H4" s="122" t="s">
        <v>183</v>
      </c>
      <c r="I4" s="122" t="s">
        <v>183</v>
      </c>
      <c r="J4" s="227" t="s">
        <v>183</v>
      </c>
      <c r="K4" s="227" t="s">
        <v>183</v>
      </c>
      <c r="L4" s="227" t="s">
        <v>183</v>
      </c>
      <c r="M4" s="122" t="s">
        <v>183</v>
      </c>
      <c r="N4" s="122" t="s">
        <v>183</v>
      </c>
      <c r="O4" s="227" t="s">
        <v>183</v>
      </c>
      <c r="P4" s="227" t="s">
        <v>183</v>
      </c>
      <c r="Q4" s="227" t="s">
        <v>183</v>
      </c>
      <c r="R4" s="122" t="s">
        <v>183</v>
      </c>
      <c r="S4" s="122" t="s">
        <v>183</v>
      </c>
      <c r="T4" s="227" t="s">
        <v>183</v>
      </c>
      <c r="U4" s="227" t="s">
        <v>183</v>
      </c>
      <c r="V4" s="227" t="s">
        <v>183</v>
      </c>
      <c r="W4" s="122" t="s">
        <v>183</v>
      </c>
      <c r="X4" s="122" t="s">
        <v>183</v>
      </c>
    </row>
    <row r="5" spans="1:24" ht="33" customHeight="1" x14ac:dyDescent="0.2">
      <c r="A5" s="228" t="s">
        <v>246</v>
      </c>
      <c r="B5" s="229" t="s">
        <v>362</v>
      </c>
      <c r="C5" s="230">
        <v>27752</v>
      </c>
      <c r="D5" s="230">
        <v>28039</v>
      </c>
      <c r="E5" s="77">
        <v>6179</v>
      </c>
      <c r="F5" s="77"/>
      <c r="G5" s="438">
        <f t="shared" ref="G5:G40" si="0">F5-E5</f>
        <v>-6179</v>
      </c>
      <c r="H5" s="439">
        <f t="shared" ref="H5:H40" si="1">IFERROR(G5/ABS(E5), "-")</f>
        <v>-1</v>
      </c>
      <c r="I5" s="231"/>
      <c r="J5" s="77">
        <v>13533</v>
      </c>
      <c r="K5" s="77">
        <v>0</v>
      </c>
      <c r="L5" s="78">
        <v>-13533</v>
      </c>
      <c r="M5" s="79">
        <v>-1</v>
      </c>
      <c r="N5" s="231"/>
      <c r="O5" s="77">
        <v>21440</v>
      </c>
      <c r="P5" s="77">
        <v>0</v>
      </c>
      <c r="Q5" s="78">
        <v>-21440</v>
      </c>
      <c r="R5" s="79">
        <v>-1</v>
      </c>
      <c r="S5" s="231"/>
      <c r="T5" s="77">
        <v>28039</v>
      </c>
      <c r="U5" s="77">
        <f>U6+U7+U8</f>
        <v>0</v>
      </c>
      <c r="V5" s="78">
        <f>U5-T5</f>
        <v>-28039</v>
      </c>
      <c r="W5" s="79">
        <f>IFERROR(V5/ABS(T5), "-")</f>
        <v>-1</v>
      </c>
      <c r="X5" s="231"/>
    </row>
    <row r="6" spans="1:24" ht="50.1" customHeight="1" x14ac:dyDescent="0.2">
      <c r="A6" s="228" t="s">
        <v>245</v>
      </c>
      <c r="B6" s="232" t="s">
        <v>447</v>
      </c>
      <c r="C6" s="146">
        <v>24030</v>
      </c>
      <c r="D6" s="146">
        <v>24291</v>
      </c>
      <c r="E6" s="82">
        <v>5223</v>
      </c>
      <c r="F6" s="82"/>
      <c r="G6" s="438">
        <f t="shared" si="0"/>
        <v>-5223</v>
      </c>
      <c r="H6" s="439">
        <f t="shared" si="1"/>
        <v>-1</v>
      </c>
      <c r="I6" s="231"/>
      <c r="J6" s="82">
        <v>11735</v>
      </c>
      <c r="K6" s="82"/>
      <c r="L6" s="83">
        <v>-11735</v>
      </c>
      <c r="M6" s="79">
        <v>-1</v>
      </c>
      <c r="N6" s="231"/>
      <c r="O6" s="82">
        <v>18628</v>
      </c>
      <c r="P6" s="82"/>
      <c r="Q6" s="83">
        <v>-18628</v>
      </c>
      <c r="R6" s="79">
        <v>-1</v>
      </c>
      <c r="S6" s="231"/>
      <c r="T6" s="82">
        <v>24291</v>
      </c>
      <c r="U6" s="82"/>
      <c r="V6" s="83">
        <f t="shared" ref="V6:V14" si="2">U6-T6</f>
        <v>-24291</v>
      </c>
      <c r="W6" s="79">
        <f t="shared" ref="W6:W14" si="3">IFERROR(V6/ABS(T6), "-")</f>
        <v>-1</v>
      </c>
      <c r="X6" s="231"/>
    </row>
    <row r="7" spans="1:24" ht="32.1" customHeight="1" x14ac:dyDescent="0.2">
      <c r="A7" s="228" t="s">
        <v>244</v>
      </c>
      <c r="B7" s="232" t="s">
        <v>448</v>
      </c>
      <c r="C7" s="146">
        <v>3722</v>
      </c>
      <c r="D7" s="146">
        <v>3748</v>
      </c>
      <c r="E7" s="82">
        <v>956</v>
      </c>
      <c r="F7" s="82"/>
      <c r="G7" s="438">
        <f t="shared" si="0"/>
        <v>-956</v>
      </c>
      <c r="H7" s="439">
        <f t="shared" si="1"/>
        <v>-1</v>
      </c>
      <c r="I7" s="231"/>
      <c r="J7" s="82">
        <v>1798</v>
      </c>
      <c r="K7" s="82"/>
      <c r="L7" s="83">
        <v>-1798</v>
      </c>
      <c r="M7" s="79">
        <v>-1</v>
      </c>
      <c r="N7" s="231"/>
      <c r="O7" s="82">
        <v>2812</v>
      </c>
      <c r="P7" s="82"/>
      <c r="Q7" s="83">
        <v>-2812</v>
      </c>
      <c r="R7" s="79">
        <v>-1</v>
      </c>
      <c r="S7" s="231"/>
      <c r="T7" s="82">
        <v>3748</v>
      </c>
      <c r="U7" s="82"/>
      <c r="V7" s="83">
        <f t="shared" si="2"/>
        <v>-3748</v>
      </c>
      <c r="W7" s="79">
        <f t="shared" si="3"/>
        <v>-1</v>
      </c>
      <c r="X7" s="231"/>
    </row>
    <row r="8" spans="1:24" ht="32.1" customHeight="1" x14ac:dyDescent="0.2">
      <c r="A8" s="228" t="s">
        <v>243</v>
      </c>
      <c r="B8" s="232" t="s">
        <v>449</v>
      </c>
      <c r="C8" s="233"/>
      <c r="D8" s="233">
        <v>0</v>
      </c>
      <c r="E8" s="77">
        <v>0</v>
      </c>
      <c r="F8" s="77"/>
      <c r="G8" s="438">
        <f t="shared" si="0"/>
        <v>0</v>
      </c>
      <c r="H8" s="439" t="str">
        <f t="shared" si="1"/>
        <v>-</v>
      </c>
      <c r="I8" s="231"/>
      <c r="J8" s="77">
        <v>0</v>
      </c>
      <c r="K8" s="77">
        <v>0</v>
      </c>
      <c r="L8" s="78">
        <v>0</v>
      </c>
      <c r="M8" s="79" t="s">
        <v>580</v>
      </c>
      <c r="N8" s="231"/>
      <c r="O8" s="77">
        <v>0</v>
      </c>
      <c r="P8" s="77">
        <v>0</v>
      </c>
      <c r="Q8" s="78">
        <v>0</v>
      </c>
      <c r="R8" s="79" t="s">
        <v>580</v>
      </c>
      <c r="S8" s="231"/>
      <c r="T8" s="77">
        <v>0</v>
      </c>
      <c r="U8" s="77">
        <f t="shared" ref="U8" si="4">U9+U10</f>
        <v>0</v>
      </c>
      <c r="V8" s="78">
        <f t="shared" si="2"/>
        <v>0</v>
      </c>
      <c r="W8" s="79" t="str">
        <f t="shared" si="3"/>
        <v>-</v>
      </c>
      <c r="X8" s="231"/>
    </row>
    <row r="9" spans="1:24" ht="31.5" customHeight="1" x14ac:dyDescent="0.2">
      <c r="A9" s="234" t="s">
        <v>242</v>
      </c>
      <c r="B9" s="235" t="s">
        <v>363</v>
      </c>
      <c r="C9" s="146"/>
      <c r="D9" s="146"/>
      <c r="E9" s="82"/>
      <c r="F9" s="82"/>
      <c r="G9" s="438">
        <f t="shared" si="0"/>
        <v>0</v>
      </c>
      <c r="H9" s="439" t="str">
        <f t="shared" si="1"/>
        <v>-</v>
      </c>
      <c r="I9" s="231"/>
      <c r="J9" s="82"/>
      <c r="K9" s="82"/>
      <c r="L9" s="83">
        <v>0</v>
      </c>
      <c r="M9" s="79" t="s">
        <v>580</v>
      </c>
      <c r="N9" s="231"/>
      <c r="O9" s="82"/>
      <c r="P9" s="82"/>
      <c r="Q9" s="83">
        <v>0</v>
      </c>
      <c r="R9" s="79" t="s">
        <v>580</v>
      </c>
      <c r="S9" s="231"/>
      <c r="T9" s="82"/>
      <c r="U9" s="82"/>
      <c r="V9" s="83">
        <f t="shared" si="2"/>
        <v>0</v>
      </c>
      <c r="W9" s="79" t="str">
        <f t="shared" si="3"/>
        <v>-</v>
      </c>
      <c r="X9" s="231"/>
    </row>
    <row r="10" spans="1:24" ht="30.95" customHeight="1" x14ac:dyDescent="0.2">
      <c r="A10" s="234" t="s">
        <v>241</v>
      </c>
      <c r="B10" s="235" t="s">
        <v>364</v>
      </c>
      <c r="C10" s="146"/>
      <c r="D10" s="146"/>
      <c r="E10" s="82"/>
      <c r="F10" s="82"/>
      <c r="G10" s="438">
        <f t="shared" si="0"/>
        <v>0</v>
      </c>
      <c r="H10" s="439" t="str">
        <f t="shared" si="1"/>
        <v>-</v>
      </c>
      <c r="I10" s="231"/>
      <c r="J10" s="82"/>
      <c r="K10" s="82"/>
      <c r="L10" s="83">
        <v>0</v>
      </c>
      <c r="M10" s="79" t="s">
        <v>580</v>
      </c>
      <c r="N10" s="231"/>
      <c r="O10" s="82"/>
      <c r="P10" s="82"/>
      <c r="Q10" s="83">
        <v>0</v>
      </c>
      <c r="R10" s="79" t="s">
        <v>580</v>
      </c>
      <c r="S10" s="231"/>
      <c r="T10" s="82"/>
      <c r="U10" s="82"/>
      <c r="V10" s="83">
        <f t="shared" si="2"/>
        <v>0</v>
      </c>
      <c r="W10" s="79" t="str">
        <f t="shared" si="3"/>
        <v>-</v>
      </c>
      <c r="X10" s="231"/>
    </row>
    <row r="11" spans="1:24" ht="35.450000000000003" customHeight="1" x14ac:dyDescent="0.2">
      <c r="A11" s="228" t="s">
        <v>365</v>
      </c>
      <c r="B11" s="236" t="s">
        <v>366</v>
      </c>
      <c r="C11" s="237">
        <v>3722</v>
      </c>
      <c r="D11" s="237">
        <v>3748</v>
      </c>
      <c r="E11" s="237">
        <v>956</v>
      </c>
      <c r="F11" s="237"/>
      <c r="G11" s="438">
        <f t="shared" si="0"/>
        <v>-956</v>
      </c>
      <c r="H11" s="439">
        <f t="shared" si="1"/>
        <v>-1</v>
      </c>
      <c r="I11" s="231"/>
      <c r="J11" s="237">
        <v>1798</v>
      </c>
      <c r="K11" s="237">
        <v>0</v>
      </c>
      <c r="L11" s="238">
        <v>-1798</v>
      </c>
      <c r="M11" s="79">
        <v>-1</v>
      </c>
      <c r="N11" s="231"/>
      <c r="O11" s="237">
        <v>2812</v>
      </c>
      <c r="P11" s="237">
        <v>0</v>
      </c>
      <c r="Q11" s="238">
        <v>-2812</v>
      </c>
      <c r="R11" s="79">
        <v>-1</v>
      </c>
      <c r="S11" s="231"/>
      <c r="T11" s="237">
        <v>3748</v>
      </c>
      <c r="U11" s="237">
        <f t="shared" ref="U11" si="5">U7+U10</f>
        <v>0</v>
      </c>
      <c r="V11" s="238">
        <f t="shared" si="2"/>
        <v>-3748</v>
      </c>
      <c r="W11" s="79">
        <f t="shared" si="3"/>
        <v>-1</v>
      </c>
      <c r="X11" s="231"/>
    </row>
    <row r="12" spans="1:24" ht="32.1" customHeight="1" x14ac:dyDescent="0.2">
      <c r="A12" s="228" t="s">
        <v>367</v>
      </c>
      <c r="B12" s="236" t="s">
        <v>397</v>
      </c>
      <c r="C12" s="239">
        <v>13</v>
      </c>
      <c r="D12" s="239">
        <v>13.37</v>
      </c>
      <c r="E12" s="239">
        <v>15.47</v>
      </c>
      <c r="F12" s="239"/>
      <c r="G12" s="438">
        <f t="shared" si="0"/>
        <v>-15.47</v>
      </c>
      <c r="H12" s="439">
        <f t="shared" si="1"/>
        <v>-1</v>
      </c>
      <c r="I12" s="231"/>
      <c r="J12" s="239">
        <v>13.29</v>
      </c>
      <c r="K12" s="239" t="s">
        <v>580</v>
      </c>
      <c r="L12" s="240" t="e">
        <v>#VALUE!</v>
      </c>
      <c r="M12" s="79" t="s">
        <v>580</v>
      </c>
      <c r="N12" s="231"/>
      <c r="O12" s="239">
        <v>13.12</v>
      </c>
      <c r="P12" s="239" t="s">
        <v>580</v>
      </c>
      <c r="Q12" s="240" t="e">
        <v>#VALUE!</v>
      </c>
      <c r="R12" s="79" t="s">
        <v>580</v>
      </c>
      <c r="S12" s="231"/>
      <c r="T12" s="239">
        <v>13.37</v>
      </c>
      <c r="U12" s="239" t="str">
        <f t="shared" ref="U12" si="6">IFERROR(U11/U5, "-")</f>
        <v>-</v>
      </c>
      <c r="V12" s="240" t="e">
        <f t="shared" si="2"/>
        <v>#VALUE!</v>
      </c>
      <c r="W12" s="79" t="str">
        <f t="shared" si="3"/>
        <v>-</v>
      </c>
      <c r="X12" s="231"/>
    </row>
    <row r="13" spans="1:24" ht="18" customHeight="1" x14ac:dyDescent="0.2">
      <c r="A13" s="228" t="s">
        <v>368</v>
      </c>
      <c r="B13" s="236" t="s">
        <v>450</v>
      </c>
      <c r="C13" s="241"/>
      <c r="D13" s="241"/>
      <c r="E13" s="241"/>
      <c r="F13" s="241"/>
      <c r="G13" s="438">
        <f t="shared" si="0"/>
        <v>0</v>
      </c>
      <c r="H13" s="439" t="str">
        <f t="shared" si="1"/>
        <v>-</v>
      </c>
      <c r="I13" s="231"/>
      <c r="J13" s="241"/>
      <c r="K13" s="241"/>
      <c r="L13" s="242">
        <v>0</v>
      </c>
      <c r="M13" s="79" t="s">
        <v>580</v>
      </c>
      <c r="N13" s="231"/>
      <c r="O13" s="241"/>
      <c r="P13" s="241"/>
      <c r="Q13" s="242">
        <v>0</v>
      </c>
      <c r="R13" s="79" t="s">
        <v>580</v>
      </c>
      <c r="S13" s="231"/>
      <c r="T13" s="241"/>
      <c r="U13" s="241"/>
      <c r="V13" s="242">
        <f t="shared" si="2"/>
        <v>0</v>
      </c>
      <c r="W13" s="79" t="str">
        <f t="shared" si="3"/>
        <v>-</v>
      </c>
      <c r="X13" s="231"/>
    </row>
    <row r="14" spans="1:24" ht="34.5" customHeight="1" x14ac:dyDescent="0.2">
      <c r="A14" s="228" t="s">
        <v>369</v>
      </c>
      <c r="B14" s="236" t="s">
        <v>370</v>
      </c>
      <c r="C14" s="239">
        <f>IFERROR(C8/C5, "-")</f>
        <v>0</v>
      </c>
      <c r="D14" s="239">
        <v>0</v>
      </c>
      <c r="E14" s="239" t="s">
        <v>580</v>
      </c>
      <c r="F14" s="239"/>
      <c r="G14" s="438" t="e">
        <f t="shared" si="0"/>
        <v>#VALUE!</v>
      </c>
      <c r="H14" s="439" t="str">
        <f t="shared" si="1"/>
        <v>-</v>
      </c>
      <c r="I14" s="231"/>
      <c r="J14" s="239">
        <v>0</v>
      </c>
      <c r="K14" s="239" t="s">
        <v>580</v>
      </c>
      <c r="L14" s="240" t="e">
        <v>#VALUE!</v>
      </c>
      <c r="M14" s="79" t="s">
        <v>580</v>
      </c>
      <c r="N14" s="231"/>
      <c r="O14" s="239">
        <v>0</v>
      </c>
      <c r="P14" s="239" t="s">
        <v>580</v>
      </c>
      <c r="Q14" s="240" t="e">
        <v>#VALUE!</v>
      </c>
      <c r="R14" s="79" t="s">
        <v>580</v>
      </c>
      <c r="S14" s="231"/>
      <c r="T14" s="239">
        <v>0</v>
      </c>
      <c r="U14" s="239" t="str">
        <f t="shared" ref="U14" si="7">IFERROR(U8/U5, "-")</f>
        <v>-</v>
      </c>
      <c r="V14" s="240" t="e">
        <f t="shared" si="2"/>
        <v>#VALUE!</v>
      </c>
      <c r="W14" s="79" t="str">
        <f t="shared" si="3"/>
        <v>-</v>
      </c>
      <c r="X14" s="231"/>
    </row>
    <row r="15" spans="1:24" ht="18" customHeight="1" x14ac:dyDescent="0.2">
      <c r="A15" s="316" t="s">
        <v>240</v>
      </c>
      <c r="B15" s="322" t="s">
        <v>371</v>
      </c>
      <c r="C15" s="323" t="s">
        <v>183</v>
      </c>
      <c r="D15" s="323" t="s">
        <v>183</v>
      </c>
      <c r="E15" s="319" t="s">
        <v>183</v>
      </c>
      <c r="F15" s="320" t="s">
        <v>183</v>
      </c>
      <c r="G15" s="440" t="s">
        <v>183</v>
      </c>
      <c r="H15" s="441" t="s">
        <v>183</v>
      </c>
      <c r="I15" s="321" t="s">
        <v>183</v>
      </c>
      <c r="J15" s="319" t="s">
        <v>183</v>
      </c>
      <c r="K15" s="320" t="s">
        <v>183</v>
      </c>
      <c r="L15" s="320" t="s">
        <v>183</v>
      </c>
      <c r="M15" s="321" t="s">
        <v>183</v>
      </c>
      <c r="N15" s="321" t="s">
        <v>183</v>
      </c>
      <c r="O15" s="319" t="s">
        <v>183</v>
      </c>
      <c r="P15" s="320" t="s">
        <v>183</v>
      </c>
      <c r="Q15" s="320" t="s">
        <v>183</v>
      </c>
      <c r="R15" s="321" t="s">
        <v>183</v>
      </c>
      <c r="S15" s="321" t="s">
        <v>183</v>
      </c>
      <c r="T15" s="319" t="s">
        <v>183</v>
      </c>
      <c r="U15" s="320" t="s">
        <v>183</v>
      </c>
      <c r="V15" s="320" t="s">
        <v>183</v>
      </c>
      <c r="W15" s="321" t="s">
        <v>183</v>
      </c>
      <c r="X15" s="321" t="s">
        <v>183</v>
      </c>
    </row>
    <row r="16" spans="1:24" ht="18" customHeight="1" x14ac:dyDescent="0.2">
      <c r="A16" s="245" t="s">
        <v>239</v>
      </c>
      <c r="B16" s="246" t="s">
        <v>238</v>
      </c>
      <c r="C16" s="247">
        <v>220</v>
      </c>
      <c r="D16" s="247">
        <v>220</v>
      </c>
      <c r="E16" s="248">
        <v>220</v>
      </c>
      <c r="F16" s="248"/>
      <c r="G16" s="438">
        <f t="shared" si="0"/>
        <v>-220</v>
      </c>
      <c r="H16" s="439">
        <f t="shared" si="1"/>
        <v>-1</v>
      </c>
      <c r="I16" s="231"/>
      <c r="J16" s="248">
        <v>220</v>
      </c>
      <c r="K16" s="248"/>
      <c r="L16" s="249">
        <v>-220</v>
      </c>
      <c r="M16" s="79">
        <v>-1</v>
      </c>
      <c r="N16" s="231"/>
      <c r="O16" s="248">
        <v>220</v>
      </c>
      <c r="P16" s="248"/>
      <c r="Q16" s="249">
        <v>-220</v>
      </c>
      <c r="R16" s="79">
        <v>-1</v>
      </c>
      <c r="S16" s="231"/>
      <c r="T16" s="248">
        <v>220</v>
      </c>
      <c r="U16" s="248"/>
      <c r="V16" s="249">
        <f t="shared" ref="V16:V30" si="8">U16-T16</f>
        <v>-220</v>
      </c>
      <c r="W16" s="79">
        <f t="shared" ref="W16:W30" si="9">IFERROR(V16/ABS(T16), "-")</f>
        <v>-1</v>
      </c>
      <c r="X16" s="231"/>
    </row>
    <row r="17" spans="1:24" ht="18" customHeight="1" x14ac:dyDescent="0.2">
      <c r="A17" s="245" t="s">
        <v>291</v>
      </c>
      <c r="B17" s="17" t="s">
        <v>372</v>
      </c>
      <c r="C17" s="250">
        <v>40713</v>
      </c>
      <c r="D17" s="250">
        <v>46620</v>
      </c>
      <c r="E17" s="248">
        <v>12086</v>
      </c>
      <c r="F17" s="248"/>
      <c r="G17" s="438">
        <f>F17-E17</f>
        <v>-12086</v>
      </c>
      <c r="H17" s="439">
        <f t="shared" si="1"/>
        <v>-1</v>
      </c>
      <c r="I17" s="231"/>
      <c r="J17" s="248">
        <v>23728</v>
      </c>
      <c r="K17" s="248"/>
      <c r="L17" s="83">
        <v>-23728</v>
      </c>
      <c r="M17" s="79">
        <v>-1</v>
      </c>
      <c r="N17" s="231"/>
      <c r="O17" s="248">
        <v>34342</v>
      </c>
      <c r="P17" s="248"/>
      <c r="Q17" s="83">
        <v>-34342</v>
      </c>
      <c r="R17" s="79">
        <v>-1</v>
      </c>
      <c r="S17" s="231"/>
      <c r="T17" s="248">
        <v>46620</v>
      </c>
      <c r="U17" s="248"/>
      <c r="V17" s="83">
        <f t="shared" si="8"/>
        <v>-46620</v>
      </c>
      <c r="W17" s="79">
        <f t="shared" si="9"/>
        <v>-1</v>
      </c>
      <c r="X17" s="231"/>
    </row>
    <row r="18" spans="1:24" ht="32.450000000000003" customHeight="1" x14ac:dyDescent="0.2">
      <c r="A18" s="251" t="s">
        <v>249</v>
      </c>
      <c r="B18" s="16" t="s">
        <v>373</v>
      </c>
      <c r="C18" s="215">
        <v>564</v>
      </c>
      <c r="D18" s="215">
        <f>24735247/D17</f>
        <v>530.5715787215787</v>
      </c>
      <c r="E18" s="19">
        <f>5571252/E17</f>
        <v>460.96740029786531</v>
      </c>
      <c r="F18" s="19"/>
      <c r="G18" s="438">
        <f>F18-E18</f>
        <v>-460.96740029786531</v>
      </c>
      <c r="H18" s="439">
        <f t="shared" si="1"/>
        <v>-1</v>
      </c>
      <c r="I18" s="252"/>
      <c r="J18" s="19">
        <f>11273565/J17</f>
        <v>475.11652899527985</v>
      </c>
      <c r="K18" s="19"/>
      <c r="L18" s="89">
        <f t="shared" ref="L18:L19" si="10">K18-J18</f>
        <v>-475.11652899527985</v>
      </c>
      <c r="M18" s="94">
        <f t="shared" ref="M18:M19" si="11">IFERROR(L18/ABS(J18), "-")</f>
        <v>-1</v>
      </c>
      <c r="N18" s="252"/>
      <c r="O18" s="19">
        <f>17893089/O17</f>
        <v>521.02641080892204</v>
      </c>
      <c r="P18" s="19"/>
      <c r="Q18" s="89">
        <f t="shared" ref="Q18:Q19" si="12">P18-O18</f>
        <v>-521.02641080892204</v>
      </c>
      <c r="R18" s="94">
        <f t="shared" ref="R18:R19" si="13">IFERROR(Q18/ABS(O18), "-")</f>
        <v>-1</v>
      </c>
      <c r="S18" s="252"/>
      <c r="T18" s="215">
        <f>24735247/T17</f>
        <v>530.5715787215787</v>
      </c>
      <c r="U18" s="19"/>
      <c r="V18" s="89">
        <f t="shared" si="8"/>
        <v>-530.5715787215787</v>
      </c>
      <c r="W18" s="94">
        <f t="shared" si="9"/>
        <v>-1</v>
      </c>
      <c r="X18" s="252"/>
    </row>
    <row r="19" spans="1:24" ht="18" customHeight="1" x14ac:dyDescent="0.2">
      <c r="A19" s="251" t="s">
        <v>250</v>
      </c>
      <c r="B19" s="16" t="s">
        <v>374</v>
      </c>
      <c r="C19" s="215">
        <v>557</v>
      </c>
      <c r="D19" s="215">
        <f>25187440/D17</f>
        <v>540.2711282711283</v>
      </c>
      <c r="E19" s="19">
        <f>6299026/E17</f>
        <v>521.18368360086049</v>
      </c>
      <c r="F19" s="19"/>
      <c r="G19" s="438">
        <f t="shared" si="0"/>
        <v>-521.18368360086049</v>
      </c>
      <c r="H19" s="439">
        <f t="shared" si="1"/>
        <v>-1</v>
      </c>
      <c r="I19" s="252"/>
      <c r="J19" s="19">
        <f>12594829/J17</f>
        <v>530.80027815239384</v>
      </c>
      <c r="K19" s="19"/>
      <c r="L19" s="89">
        <f t="shared" si="10"/>
        <v>-530.80027815239384</v>
      </c>
      <c r="M19" s="94">
        <f t="shared" si="11"/>
        <v>-1</v>
      </c>
      <c r="N19" s="252"/>
      <c r="O19" s="19">
        <f>18222206/O17</f>
        <v>530.60992370857844</v>
      </c>
      <c r="P19" s="19"/>
      <c r="Q19" s="89">
        <f t="shared" si="12"/>
        <v>-530.60992370857844</v>
      </c>
      <c r="R19" s="94">
        <f t="shared" si="13"/>
        <v>-1</v>
      </c>
      <c r="S19" s="252"/>
      <c r="T19" s="19">
        <f>25187440/T17</f>
        <v>540.2711282711283</v>
      </c>
      <c r="U19" s="19"/>
      <c r="V19" s="89">
        <f t="shared" si="8"/>
        <v>-540.2711282711283</v>
      </c>
      <c r="W19" s="94">
        <f t="shared" si="9"/>
        <v>-1</v>
      </c>
      <c r="X19" s="252"/>
    </row>
    <row r="20" spans="1:24" ht="18" customHeight="1" x14ac:dyDescent="0.2">
      <c r="A20" s="245" t="s">
        <v>237</v>
      </c>
      <c r="B20" s="253" t="s">
        <v>451</v>
      </c>
      <c r="C20" s="247">
        <v>6980</v>
      </c>
      <c r="D20" s="247">
        <v>7725</v>
      </c>
      <c r="E20" s="248">
        <v>2086</v>
      </c>
      <c r="F20" s="248"/>
      <c r="G20" s="438">
        <f t="shared" si="0"/>
        <v>-2086</v>
      </c>
      <c r="H20" s="439">
        <f t="shared" si="1"/>
        <v>-1</v>
      </c>
      <c r="I20" s="231"/>
      <c r="J20" s="248">
        <v>3906</v>
      </c>
      <c r="K20" s="248"/>
      <c r="L20" s="83">
        <v>-3906</v>
      </c>
      <c r="M20" s="79">
        <v>-1</v>
      </c>
      <c r="N20" s="231"/>
      <c r="O20" s="248">
        <v>5789</v>
      </c>
      <c r="P20" s="248"/>
      <c r="Q20" s="83">
        <v>-5789</v>
      </c>
      <c r="R20" s="79">
        <v>-1</v>
      </c>
      <c r="S20" s="231"/>
      <c r="T20" s="248">
        <v>7725</v>
      </c>
      <c r="U20" s="248"/>
      <c r="V20" s="83">
        <f t="shared" si="8"/>
        <v>-7725</v>
      </c>
      <c r="W20" s="79">
        <f t="shared" si="9"/>
        <v>-1</v>
      </c>
      <c r="X20" s="231"/>
    </row>
    <row r="21" spans="1:24" ht="18" customHeight="1" x14ac:dyDescent="0.2">
      <c r="A21" s="496" t="s">
        <v>289</v>
      </c>
      <c r="B21" s="497" t="s">
        <v>452</v>
      </c>
      <c r="C21" s="498">
        <v>6658</v>
      </c>
      <c r="D21" s="498">
        <v>7405</v>
      </c>
      <c r="E21" s="19">
        <v>2009</v>
      </c>
      <c r="F21" s="19"/>
      <c r="G21" s="438">
        <f t="shared" si="0"/>
        <v>-2009</v>
      </c>
      <c r="H21" s="439">
        <f t="shared" si="1"/>
        <v>-1</v>
      </c>
      <c r="I21" s="252"/>
      <c r="J21" s="19">
        <v>3686</v>
      </c>
      <c r="K21" s="19"/>
      <c r="L21" s="104">
        <v>-3686</v>
      </c>
      <c r="M21" s="94">
        <v>-1</v>
      </c>
      <c r="N21" s="252"/>
      <c r="O21" s="19">
        <v>5505</v>
      </c>
      <c r="P21" s="19"/>
      <c r="Q21" s="104">
        <v>-5505</v>
      </c>
      <c r="R21" s="94">
        <v>-1</v>
      </c>
      <c r="S21" s="252"/>
      <c r="T21" s="19">
        <v>7405</v>
      </c>
      <c r="U21" s="19"/>
      <c r="V21" s="104">
        <f t="shared" si="8"/>
        <v>-7405</v>
      </c>
      <c r="W21" s="94">
        <f t="shared" si="9"/>
        <v>-1</v>
      </c>
      <c r="X21" s="252"/>
    </row>
    <row r="22" spans="1:24" ht="18" customHeight="1" x14ac:dyDescent="0.2">
      <c r="A22" s="251" t="s">
        <v>236</v>
      </c>
      <c r="B22" s="499" t="s">
        <v>453</v>
      </c>
      <c r="C22" s="498">
        <v>3258</v>
      </c>
      <c r="D22" s="498">
        <v>3977</v>
      </c>
      <c r="E22" s="19">
        <v>1130</v>
      </c>
      <c r="F22" s="19"/>
      <c r="G22" s="438">
        <f t="shared" si="0"/>
        <v>-1130</v>
      </c>
      <c r="H22" s="439">
        <f t="shared" si="1"/>
        <v>-1</v>
      </c>
      <c r="I22" s="252"/>
      <c r="J22" s="19">
        <v>2108</v>
      </c>
      <c r="K22" s="19"/>
      <c r="L22" s="104">
        <v>-2108</v>
      </c>
      <c r="M22" s="94">
        <v>-1</v>
      </c>
      <c r="N22" s="252"/>
      <c r="O22" s="19">
        <v>2977</v>
      </c>
      <c r="P22" s="19"/>
      <c r="Q22" s="104">
        <v>-2977</v>
      </c>
      <c r="R22" s="94">
        <v>-1</v>
      </c>
      <c r="S22" s="252"/>
      <c r="T22" s="19">
        <v>3977</v>
      </c>
      <c r="U22" s="19"/>
      <c r="V22" s="104">
        <f t="shared" si="8"/>
        <v>-3977</v>
      </c>
      <c r="W22" s="94">
        <f t="shared" si="9"/>
        <v>-1</v>
      </c>
      <c r="X22" s="252"/>
    </row>
    <row r="23" spans="1:24" ht="18" customHeight="1" x14ac:dyDescent="0.2">
      <c r="A23" s="496" t="s">
        <v>290</v>
      </c>
      <c r="B23" s="497" t="s">
        <v>454</v>
      </c>
      <c r="C23" s="498">
        <v>2964</v>
      </c>
      <c r="D23" s="498">
        <v>3686</v>
      </c>
      <c r="E23" s="19">
        <v>1057</v>
      </c>
      <c r="F23" s="19"/>
      <c r="G23" s="438">
        <f t="shared" si="0"/>
        <v>-1057</v>
      </c>
      <c r="H23" s="439">
        <f t="shared" si="1"/>
        <v>-1</v>
      </c>
      <c r="I23" s="252"/>
      <c r="J23" s="19">
        <v>1900</v>
      </c>
      <c r="K23" s="19"/>
      <c r="L23" s="104">
        <v>-1900</v>
      </c>
      <c r="M23" s="94">
        <v>-1</v>
      </c>
      <c r="N23" s="252"/>
      <c r="O23" s="19">
        <v>2713</v>
      </c>
      <c r="P23" s="19"/>
      <c r="Q23" s="104">
        <v>-2713</v>
      </c>
      <c r="R23" s="94">
        <v>-1</v>
      </c>
      <c r="S23" s="252"/>
      <c r="T23" s="19">
        <v>3686</v>
      </c>
      <c r="U23" s="19"/>
      <c r="V23" s="104">
        <f t="shared" si="8"/>
        <v>-3686</v>
      </c>
      <c r="W23" s="94">
        <f t="shared" si="9"/>
        <v>-1</v>
      </c>
      <c r="X23" s="252"/>
    </row>
    <row r="24" spans="1:24" ht="18" customHeight="1" x14ac:dyDescent="0.2">
      <c r="A24" s="254" t="s">
        <v>375</v>
      </c>
      <c r="B24" s="253" t="s">
        <v>455</v>
      </c>
      <c r="C24" s="247">
        <v>3722</v>
      </c>
      <c r="D24" s="247">
        <v>3748</v>
      </c>
      <c r="E24" s="248">
        <v>956</v>
      </c>
      <c r="F24" s="248"/>
      <c r="G24" s="438">
        <f t="shared" si="0"/>
        <v>-956</v>
      </c>
      <c r="H24" s="439">
        <f t="shared" si="1"/>
        <v>-1</v>
      </c>
      <c r="I24" s="231"/>
      <c r="J24" s="248">
        <v>1798</v>
      </c>
      <c r="K24" s="248"/>
      <c r="L24" s="83">
        <v>-1798</v>
      </c>
      <c r="M24" s="79">
        <v>-1</v>
      </c>
      <c r="N24" s="231"/>
      <c r="O24" s="248">
        <v>2812</v>
      </c>
      <c r="P24" s="248"/>
      <c r="Q24" s="83">
        <v>-2812</v>
      </c>
      <c r="R24" s="79">
        <v>-1</v>
      </c>
      <c r="S24" s="231"/>
      <c r="T24" s="248">
        <v>3748</v>
      </c>
      <c r="U24" s="248"/>
      <c r="V24" s="83">
        <f t="shared" si="8"/>
        <v>-3748</v>
      </c>
      <c r="W24" s="79">
        <f t="shared" si="9"/>
        <v>-1</v>
      </c>
      <c r="X24" s="231"/>
    </row>
    <row r="25" spans="1:24" ht="18" customHeight="1" x14ac:dyDescent="0.2">
      <c r="A25" s="254" t="s">
        <v>376</v>
      </c>
      <c r="B25" s="255" t="s">
        <v>456</v>
      </c>
      <c r="C25" s="247">
        <v>3694</v>
      </c>
      <c r="D25" s="247">
        <v>3719</v>
      </c>
      <c r="E25" s="248">
        <v>952</v>
      </c>
      <c r="F25" s="248"/>
      <c r="G25" s="438">
        <f t="shared" si="0"/>
        <v>-952</v>
      </c>
      <c r="H25" s="439">
        <f t="shared" si="1"/>
        <v>-1</v>
      </c>
      <c r="I25" s="231"/>
      <c r="J25" s="248">
        <v>1786</v>
      </c>
      <c r="K25" s="248"/>
      <c r="L25" s="83">
        <v>-1786</v>
      </c>
      <c r="M25" s="79">
        <v>-1</v>
      </c>
      <c r="N25" s="231"/>
      <c r="O25" s="248">
        <v>2792</v>
      </c>
      <c r="P25" s="248"/>
      <c r="Q25" s="83">
        <v>-2792</v>
      </c>
      <c r="R25" s="79">
        <v>-1</v>
      </c>
      <c r="S25" s="231"/>
      <c r="T25" s="248">
        <v>3719</v>
      </c>
      <c r="U25" s="248"/>
      <c r="V25" s="83">
        <f t="shared" si="8"/>
        <v>-3719</v>
      </c>
      <c r="W25" s="79">
        <f t="shared" si="9"/>
        <v>-1</v>
      </c>
      <c r="X25" s="231"/>
    </row>
    <row r="26" spans="1:24" ht="54" customHeight="1" x14ac:dyDescent="0.2">
      <c r="A26" s="245" t="s">
        <v>235</v>
      </c>
      <c r="B26" s="236" t="s">
        <v>457</v>
      </c>
      <c r="C26" s="256"/>
      <c r="D26" s="256"/>
      <c r="E26" s="248"/>
      <c r="F26" s="248"/>
      <c r="G26" s="438">
        <f t="shared" si="0"/>
        <v>0</v>
      </c>
      <c r="H26" s="439" t="str">
        <f t="shared" si="1"/>
        <v>-</v>
      </c>
      <c r="I26" s="231"/>
      <c r="J26" s="248"/>
      <c r="K26" s="248"/>
      <c r="L26" s="83">
        <v>0</v>
      </c>
      <c r="M26" s="79" t="s">
        <v>580</v>
      </c>
      <c r="N26" s="231"/>
      <c r="O26" s="248"/>
      <c r="P26" s="248"/>
      <c r="Q26" s="83">
        <v>0</v>
      </c>
      <c r="R26" s="79" t="s">
        <v>580</v>
      </c>
      <c r="S26" s="231"/>
      <c r="T26" s="248"/>
      <c r="U26" s="248"/>
      <c r="V26" s="83">
        <f t="shared" si="8"/>
        <v>0</v>
      </c>
      <c r="W26" s="79" t="str">
        <f t="shared" si="9"/>
        <v>-</v>
      </c>
      <c r="X26" s="231"/>
    </row>
    <row r="27" spans="1:24" ht="56.45" customHeight="1" x14ac:dyDescent="0.2">
      <c r="A27" s="245" t="s">
        <v>234</v>
      </c>
      <c r="B27" s="236" t="s">
        <v>458</v>
      </c>
      <c r="C27" s="256">
        <v>21</v>
      </c>
      <c r="D27" s="256">
        <v>29</v>
      </c>
      <c r="E27" s="248">
        <v>4</v>
      </c>
      <c r="F27" s="248"/>
      <c r="G27" s="438">
        <f t="shared" si="0"/>
        <v>-4</v>
      </c>
      <c r="H27" s="439">
        <f t="shared" si="1"/>
        <v>-1</v>
      </c>
      <c r="I27" s="451"/>
      <c r="J27" s="248">
        <v>11</v>
      </c>
      <c r="K27" s="248"/>
      <c r="L27" s="83">
        <v>-11</v>
      </c>
      <c r="M27" s="79">
        <v>-1</v>
      </c>
      <c r="N27" s="231"/>
      <c r="O27" s="248">
        <v>22</v>
      </c>
      <c r="P27" s="248"/>
      <c r="Q27" s="83">
        <v>-22</v>
      </c>
      <c r="R27" s="79">
        <v>-1</v>
      </c>
      <c r="S27" s="231"/>
      <c r="T27" s="248">
        <v>29</v>
      </c>
      <c r="U27" s="248"/>
      <c r="V27" s="83">
        <f t="shared" si="8"/>
        <v>-29</v>
      </c>
      <c r="W27" s="79">
        <f t="shared" si="9"/>
        <v>-1</v>
      </c>
      <c r="X27" s="231"/>
    </row>
    <row r="28" spans="1:24" ht="18" customHeight="1" x14ac:dyDescent="0.2">
      <c r="A28" s="245" t="s">
        <v>233</v>
      </c>
      <c r="B28" s="236" t="s">
        <v>278</v>
      </c>
      <c r="C28" s="256">
        <v>13676</v>
      </c>
      <c r="D28" s="256">
        <v>14100</v>
      </c>
      <c r="E28" s="248">
        <v>4369</v>
      </c>
      <c r="F28" s="248"/>
      <c r="G28" s="438">
        <f t="shared" si="0"/>
        <v>-4369</v>
      </c>
      <c r="H28" s="439">
        <f t="shared" si="1"/>
        <v>-1</v>
      </c>
      <c r="I28" s="231"/>
      <c r="J28" s="248">
        <v>7529</v>
      </c>
      <c r="K28" s="248"/>
      <c r="L28" s="83">
        <v>-7529</v>
      </c>
      <c r="M28" s="79">
        <v>-1</v>
      </c>
      <c r="N28" s="231"/>
      <c r="O28" s="248">
        <v>10605</v>
      </c>
      <c r="P28" s="248"/>
      <c r="Q28" s="83">
        <v>-10605</v>
      </c>
      <c r="R28" s="79">
        <v>-1</v>
      </c>
      <c r="S28" s="231"/>
      <c r="T28" s="248">
        <v>14100</v>
      </c>
      <c r="U28" s="248"/>
      <c r="V28" s="83">
        <f t="shared" si="8"/>
        <v>-14100</v>
      </c>
      <c r="W28" s="79">
        <f t="shared" si="9"/>
        <v>-1</v>
      </c>
      <c r="X28" s="231"/>
    </row>
    <row r="29" spans="1:24" ht="18" customHeight="1" x14ac:dyDescent="0.2">
      <c r="A29" s="251" t="s">
        <v>232</v>
      </c>
      <c r="B29" s="16" t="s">
        <v>279</v>
      </c>
      <c r="C29" s="215">
        <v>5.83</v>
      </c>
      <c r="D29" s="215">
        <v>5.77</v>
      </c>
      <c r="E29" s="19">
        <v>5.99</v>
      </c>
      <c r="F29" s="19"/>
      <c r="G29" s="438">
        <f t="shared" si="0"/>
        <v>-5.99</v>
      </c>
      <c r="H29" s="439">
        <f t="shared" si="1"/>
        <v>-1</v>
      </c>
      <c r="I29" s="252"/>
      <c r="J29" s="19">
        <v>5.83</v>
      </c>
      <c r="K29" s="19"/>
      <c r="L29" s="104">
        <v>-5.83</v>
      </c>
      <c r="M29" s="94">
        <v>-1</v>
      </c>
      <c r="N29" s="252"/>
      <c r="O29" s="19">
        <v>5.81</v>
      </c>
      <c r="P29" s="19"/>
      <c r="Q29" s="104">
        <v>-5.81</v>
      </c>
      <c r="R29" s="94">
        <v>-1</v>
      </c>
      <c r="S29" s="252"/>
      <c r="T29" s="19">
        <v>5.77</v>
      </c>
      <c r="U29" s="19"/>
      <c r="V29" s="104">
        <f t="shared" si="8"/>
        <v>-5.77</v>
      </c>
      <c r="W29" s="94">
        <f t="shared" si="9"/>
        <v>-1</v>
      </c>
      <c r="X29" s="252"/>
    </row>
    <row r="30" spans="1:24" ht="18" customHeight="1" x14ac:dyDescent="0.2">
      <c r="A30" s="251" t="s">
        <v>231</v>
      </c>
      <c r="B30" s="16" t="s">
        <v>398</v>
      </c>
      <c r="C30" s="215">
        <v>50.58</v>
      </c>
      <c r="D30" s="215">
        <v>60.93</v>
      </c>
      <c r="E30" s="19">
        <v>62.32</v>
      </c>
      <c r="F30" s="19"/>
      <c r="G30" s="438">
        <f t="shared" si="0"/>
        <v>-62.32</v>
      </c>
      <c r="H30" s="439">
        <f t="shared" si="1"/>
        <v>-1</v>
      </c>
      <c r="I30" s="252"/>
      <c r="J30" s="19">
        <v>61.58</v>
      </c>
      <c r="K30" s="19"/>
      <c r="L30" s="104">
        <v>-61.58</v>
      </c>
      <c r="M30" s="94">
        <v>-1</v>
      </c>
      <c r="N30" s="252"/>
      <c r="O30" s="19">
        <v>60.87</v>
      </c>
      <c r="P30" s="19"/>
      <c r="Q30" s="104">
        <v>-60.87</v>
      </c>
      <c r="R30" s="94">
        <v>-1</v>
      </c>
      <c r="S30" s="252"/>
      <c r="T30" s="19">
        <v>60.93</v>
      </c>
      <c r="U30" s="19"/>
      <c r="V30" s="104">
        <f t="shared" si="8"/>
        <v>-60.93</v>
      </c>
      <c r="W30" s="94">
        <f t="shared" si="9"/>
        <v>-1</v>
      </c>
      <c r="X30" s="252"/>
    </row>
    <row r="31" spans="1:24" ht="18" customHeight="1" x14ac:dyDescent="0.2">
      <c r="A31" s="324" t="s">
        <v>230</v>
      </c>
      <c r="B31" s="325" t="s">
        <v>377</v>
      </c>
      <c r="C31" s="326" t="s">
        <v>183</v>
      </c>
      <c r="D31" s="326" t="s">
        <v>183</v>
      </c>
      <c r="E31" s="319" t="s">
        <v>183</v>
      </c>
      <c r="F31" s="320" t="s">
        <v>183</v>
      </c>
      <c r="G31" s="440" t="s">
        <v>183</v>
      </c>
      <c r="H31" s="441" t="s">
        <v>183</v>
      </c>
      <c r="I31" s="321" t="s">
        <v>183</v>
      </c>
      <c r="J31" s="319" t="s">
        <v>183</v>
      </c>
      <c r="K31" s="320" t="s">
        <v>183</v>
      </c>
      <c r="L31" s="320" t="s">
        <v>183</v>
      </c>
      <c r="M31" s="321" t="s">
        <v>183</v>
      </c>
      <c r="N31" s="321" t="s">
        <v>183</v>
      </c>
      <c r="O31" s="319" t="s">
        <v>183</v>
      </c>
      <c r="P31" s="320" t="s">
        <v>183</v>
      </c>
      <c r="Q31" s="320" t="s">
        <v>183</v>
      </c>
      <c r="R31" s="321" t="s">
        <v>183</v>
      </c>
      <c r="S31" s="321" t="s">
        <v>183</v>
      </c>
      <c r="T31" s="319" t="s">
        <v>183</v>
      </c>
      <c r="U31" s="320" t="s">
        <v>183</v>
      </c>
      <c r="V31" s="320" t="s">
        <v>183</v>
      </c>
      <c r="W31" s="321" t="s">
        <v>183</v>
      </c>
      <c r="X31" s="321" t="s">
        <v>183</v>
      </c>
    </row>
    <row r="32" spans="1:24" ht="18" customHeight="1" x14ac:dyDescent="0.2">
      <c r="A32" s="251" t="s">
        <v>228</v>
      </c>
      <c r="B32" s="16" t="s">
        <v>378</v>
      </c>
      <c r="C32" s="69">
        <v>111754</v>
      </c>
      <c r="D32" s="69">
        <v>115228</v>
      </c>
      <c r="E32" s="97">
        <v>28840</v>
      </c>
      <c r="F32" s="97"/>
      <c r="G32" s="438">
        <f t="shared" si="0"/>
        <v>-28840</v>
      </c>
      <c r="H32" s="439">
        <f t="shared" si="1"/>
        <v>-1</v>
      </c>
      <c r="I32" s="231"/>
      <c r="J32" s="97">
        <v>56632</v>
      </c>
      <c r="K32" s="97">
        <v>0</v>
      </c>
      <c r="L32" s="78">
        <v>-56632</v>
      </c>
      <c r="M32" s="79">
        <v>-1</v>
      </c>
      <c r="N32" s="231"/>
      <c r="O32" s="97">
        <v>85750</v>
      </c>
      <c r="P32" s="97">
        <v>0</v>
      </c>
      <c r="Q32" s="78">
        <v>-85750</v>
      </c>
      <c r="R32" s="79">
        <v>-1</v>
      </c>
      <c r="S32" s="231"/>
      <c r="T32" s="97">
        <v>115228</v>
      </c>
      <c r="U32" s="97">
        <f t="shared" ref="U32" si="14">U33+U35</f>
        <v>0</v>
      </c>
      <c r="V32" s="78">
        <f t="shared" ref="V32:V40" si="15">U32-T32</f>
        <v>-115228</v>
      </c>
      <c r="W32" s="79">
        <f t="shared" ref="W32:W40" si="16">IFERROR(V32/ABS(T32), "-")</f>
        <v>-1</v>
      </c>
      <c r="X32" s="231"/>
    </row>
    <row r="33" spans="1:24" ht="18" customHeight="1" x14ac:dyDescent="0.2">
      <c r="A33" s="245" t="s">
        <v>280</v>
      </c>
      <c r="B33" s="39" t="s">
        <v>379</v>
      </c>
      <c r="C33" s="250">
        <v>90036</v>
      </c>
      <c r="D33" s="250">
        <v>92784</v>
      </c>
      <c r="E33" s="248">
        <v>23224</v>
      </c>
      <c r="F33" s="248"/>
      <c r="G33" s="438">
        <f t="shared" si="0"/>
        <v>-23224</v>
      </c>
      <c r="H33" s="439">
        <f t="shared" si="1"/>
        <v>-1</v>
      </c>
      <c r="I33" s="231"/>
      <c r="J33" s="248">
        <v>45712</v>
      </c>
      <c r="K33" s="248"/>
      <c r="L33" s="83">
        <v>-45712</v>
      </c>
      <c r="M33" s="79">
        <v>-1</v>
      </c>
      <c r="N33" s="231"/>
      <c r="O33" s="248">
        <v>69059</v>
      </c>
      <c r="P33" s="248"/>
      <c r="Q33" s="83">
        <v>-69059</v>
      </c>
      <c r="R33" s="79">
        <v>-1</v>
      </c>
      <c r="S33" s="231"/>
      <c r="T33" s="248">
        <v>92784</v>
      </c>
      <c r="U33" s="248"/>
      <c r="V33" s="83">
        <f t="shared" si="15"/>
        <v>-92784</v>
      </c>
      <c r="W33" s="79">
        <f t="shared" si="16"/>
        <v>-1</v>
      </c>
      <c r="X33" s="231"/>
    </row>
    <row r="34" spans="1:24" ht="18" customHeight="1" x14ac:dyDescent="0.2">
      <c r="A34" s="245" t="s">
        <v>281</v>
      </c>
      <c r="B34" s="258" t="s">
        <v>229</v>
      </c>
      <c r="C34" s="250">
        <v>505</v>
      </c>
      <c r="D34" s="250">
        <v>614</v>
      </c>
      <c r="E34" s="248">
        <v>168</v>
      </c>
      <c r="F34" s="248"/>
      <c r="G34" s="438">
        <f t="shared" si="0"/>
        <v>-168</v>
      </c>
      <c r="H34" s="439">
        <f t="shared" si="1"/>
        <v>-1</v>
      </c>
      <c r="I34" s="231"/>
      <c r="J34" s="248">
        <v>326</v>
      </c>
      <c r="K34" s="248"/>
      <c r="L34" s="83">
        <v>-326</v>
      </c>
      <c r="M34" s="79">
        <v>-1</v>
      </c>
      <c r="N34" s="231"/>
      <c r="O34" s="248">
        <v>453</v>
      </c>
      <c r="P34" s="248"/>
      <c r="Q34" s="83">
        <v>-453</v>
      </c>
      <c r="R34" s="79">
        <v>-1</v>
      </c>
      <c r="S34" s="231"/>
      <c r="T34" s="248">
        <v>614</v>
      </c>
      <c r="U34" s="248"/>
      <c r="V34" s="83">
        <f t="shared" si="15"/>
        <v>-614</v>
      </c>
      <c r="W34" s="79">
        <f t="shared" si="16"/>
        <v>-1</v>
      </c>
      <c r="X34" s="231"/>
    </row>
    <row r="35" spans="1:24" ht="18" customHeight="1" x14ac:dyDescent="0.2">
      <c r="A35" s="245" t="s">
        <v>282</v>
      </c>
      <c r="B35" s="39" t="s">
        <v>380</v>
      </c>
      <c r="C35" s="250">
        <v>21718</v>
      </c>
      <c r="D35" s="250">
        <v>22444</v>
      </c>
      <c r="E35" s="248">
        <v>5616</v>
      </c>
      <c r="F35" s="248"/>
      <c r="G35" s="438">
        <f t="shared" si="0"/>
        <v>-5616</v>
      </c>
      <c r="H35" s="439">
        <f t="shared" si="1"/>
        <v>-1</v>
      </c>
      <c r="I35" s="231"/>
      <c r="J35" s="248">
        <v>10920</v>
      </c>
      <c r="K35" s="248"/>
      <c r="L35" s="83">
        <v>-10920</v>
      </c>
      <c r="M35" s="79">
        <v>-1</v>
      </c>
      <c r="N35" s="231"/>
      <c r="O35" s="248">
        <v>16691</v>
      </c>
      <c r="P35" s="248"/>
      <c r="Q35" s="83">
        <v>-16691</v>
      </c>
      <c r="R35" s="79">
        <v>-1</v>
      </c>
      <c r="S35" s="231"/>
      <c r="T35" s="248">
        <v>22444</v>
      </c>
      <c r="U35" s="248"/>
      <c r="V35" s="83">
        <f t="shared" si="15"/>
        <v>-22444</v>
      </c>
      <c r="W35" s="79">
        <f t="shared" si="16"/>
        <v>-1</v>
      </c>
      <c r="X35" s="231"/>
    </row>
    <row r="36" spans="1:24" ht="18" customHeight="1" x14ac:dyDescent="0.2">
      <c r="A36" s="245" t="s">
        <v>283</v>
      </c>
      <c r="B36" s="258" t="s">
        <v>229</v>
      </c>
      <c r="C36" s="250">
        <v>0</v>
      </c>
      <c r="D36" s="250"/>
      <c r="E36" s="248">
        <v>0</v>
      </c>
      <c r="F36" s="248"/>
      <c r="G36" s="438">
        <f t="shared" si="0"/>
        <v>0</v>
      </c>
      <c r="H36" s="439" t="str">
        <f t="shared" si="1"/>
        <v>-</v>
      </c>
      <c r="I36" s="231"/>
      <c r="J36" s="248"/>
      <c r="K36" s="248"/>
      <c r="L36" s="83">
        <v>0</v>
      </c>
      <c r="M36" s="79" t="s">
        <v>580</v>
      </c>
      <c r="N36" s="231"/>
      <c r="O36" s="248"/>
      <c r="P36" s="248"/>
      <c r="Q36" s="83">
        <v>0</v>
      </c>
      <c r="R36" s="79" t="s">
        <v>580</v>
      </c>
      <c r="S36" s="231"/>
      <c r="T36" s="248"/>
      <c r="U36" s="248"/>
      <c r="V36" s="83">
        <f t="shared" si="15"/>
        <v>0</v>
      </c>
      <c r="W36" s="79" t="str">
        <f t="shared" si="16"/>
        <v>-</v>
      </c>
      <c r="X36" s="231"/>
    </row>
    <row r="37" spans="1:24" ht="18" customHeight="1" x14ac:dyDescent="0.2">
      <c r="A37" s="245" t="s">
        <v>285</v>
      </c>
      <c r="B37" s="17" t="s">
        <v>288</v>
      </c>
      <c r="C37" s="250"/>
      <c r="D37" s="250"/>
      <c r="E37" s="248"/>
      <c r="F37" s="248"/>
      <c r="G37" s="438">
        <f t="shared" si="0"/>
        <v>0</v>
      </c>
      <c r="H37" s="439" t="str">
        <f t="shared" si="1"/>
        <v>-</v>
      </c>
      <c r="I37" s="231"/>
      <c r="J37" s="248"/>
      <c r="K37" s="248"/>
      <c r="L37" s="83">
        <v>0</v>
      </c>
      <c r="M37" s="79" t="s">
        <v>580</v>
      </c>
      <c r="N37" s="231"/>
      <c r="O37" s="248"/>
      <c r="P37" s="248"/>
      <c r="Q37" s="83">
        <v>0</v>
      </c>
      <c r="R37" s="79" t="s">
        <v>580</v>
      </c>
      <c r="S37" s="231"/>
      <c r="T37" s="248"/>
      <c r="U37" s="248"/>
      <c r="V37" s="83">
        <f t="shared" si="15"/>
        <v>0</v>
      </c>
      <c r="W37" s="79" t="str">
        <f t="shared" si="16"/>
        <v>-</v>
      </c>
      <c r="X37" s="231"/>
    </row>
    <row r="38" spans="1:24" ht="18" customHeight="1" x14ac:dyDescent="0.2">
      <c r="A38" s="245" t="s">
        <v>286</v>
      </c>
      <c r="B38" s="17" t="s">
        <v>399</v>
      </c>
      <c r="C38" s="250"/>
      <c r="D38" s="250"/>
      <c r="E38" s="248"/>
      <c r="F38" s="248"/>
      <c r="G38" s="438">
        <f t="shared" si="0"/>
        <v>0</v>
      </c>
      <c r="H38" s="439" t="str">
        <f t="shared" si="1"/>
        <v>-</v>
      </c>
      <c r="I38" s="231"/>
      <c r="J38" s="248"/>
      <c r="K38" s="248"/>
      <c r="L38" s="83">
        <v>0</v>
      </c>
      <c r="M38" s="79" t="s">
        <v>580</v>
      </c>
      <c r="N38" s="231"/>
      <c r="O38" s="248"/>
      <c r="P38" s="248"/>
      <c r="Q38" s="83">
        <v>0</v>
      </c>
      <c r="R38" s="79" t="s">
        <v>580</v>
      </c>
      <c r="S38" s="231"/>
      <c r="T38" s="248"/>
      <c r="U38" s="248"/>
      <c r="V38" s="83">
        <f t="shared" si="15"/>
        <v>0</v>
      </c>
      <c r="W38" s="79" t="str">
        <f t="shared" si="16"/>
        <v>-</v>
      </c>
      <c r="X38" s="231"/>
    </row>
    <row r="39" spans="1:24" ht="18" customHeight="1" x14ac:dyDescent="0.2">
      <c r="A39" s="245" t="s">
        <v>284</v>
      </c>
      <c r="B39" s="16" t="s">
        <v>459</v>
      </c>
      <c r="C39" s="215">
        <v>2848</v>
      </c>
      <c r="D39" s="215">
        <v>2961</v>
      </c>
      <c r="E39" s="248">
        <v>700</v>
      </c>
      <c r="F39" s="248"/>
      <c r="G39" s="438">
        <f t="shared" si="0"/>
        <v>-700</v>
      </c>
      <c r="H39" s="439">
        <f t="shared" si="1"/>
        <v>-1</v>
      </c>
      <c r="I39" s="231"/>
      <c r="J39" s="248">
        <v>1437</v>
      </c>
      <c r="K39" s="248"/>
      <c r="L39" s="83">
        <v>-1437</v>
      </c>
      <c r="M39" s="79">
        <v>-1</v>
      </c>
      <c r="N39" s="231"/>
      <c r="O39" s="248">
        <v>2162</v>
      </c>
      <c r="P39" s="248"/>
      <c r="Q39" s="83">
        <v>-2162</v>
      </c>
      <c r="R39" s="79">
        <v>-1</v>
      </c>
      <c r="S39" s="231"/>
      <c r="T39" s="248">
        <v>2961</v>
      </c>
      <c r="U39" s="248"/>
      <c r="V39" s="83">
        <f t="shared" si="15"/>
        <v>-2961</v>
      </c>
      <c r="W39" s="79">
        <f t="shared" si="16"/>
        <v>-1</v>
      </c>
      <c r="X39" s="231"/>
    </row>
    <row r="40" spans="1:24" ht="18" customHeight="1" x14ac:dyDescent="0.2">
      <c r="A40" s="259" t="s">
        <v>298</v>
      </c>
      <c r="B40" s="260" t="s">
        <v>300</v>
      </c>
      <c r="C40" s="261">
        <v>437</v>
      </c>
      <c r="D40" s="261">
        <v>513</v>
      </c>
      <c r="E40" s="248">
        <v>148</v>
      </c>
      <c r="F40" s="248"/>
      <c r="G40" s="438">
        <f t="shared" si="0"/>
        <v>-148</v>
      </c>
      <c r="H40" s="439">
        <f t="shared" si="1"/>
        <v>-1</v>
      </c>
      <c r="I40" s="451"/>
      <c r="J40" s="262">
        <v>262</v>
      </c>
      <c r="K40" s="248"/>
      <c r="L40" s="83">
        <v>-262</v>
      </c>
      <c r="M40" s="263">
        <v>-1</v>
      </c>
      <c r="N40" s="231"/>
      <c r="O40" s="262">
        <v>377</v>
      </c>
      <c r="P40" s="248"/>
      <c r="Q40" s="83">
        <v>-377</v>
      </c>
      <c r="R40" s="263">
        <v>-1</v>
      </c>
      <c r="S40" s="231"/>
      <c r="T40" s="262">
        <v>513</v>
      </c>
      <c r="U40" s="248"/>
      <c r="V40" s="83">
        <f t="shared" si="15"/>
        <v>-513</v>
      </c>
      <c r="W40" s="263">
        <f t="shared" si="16"/>
        <v>-1</v>
      </c>
      <c r="X40" s="231"/>
    </row>
    <row r="41" spans="1:24" ht="18" customHeight="1" x14ac:dyDescent="0.2">
      <c r="A41" s="316" t="s">
        <v>227</v>
      </c>
      <c r="B41" s="327" t="s">
        <v>381</v>
      </c>
      <c r="C41" s="328" t="s">
        <v>183</v>
      </c>
      <c r="D41" s="328" t="s">
        <v>183</v>
      </c>
      <c r="E41" s="319" t="s">
        <v>183</v>
      </c>
      <c r="F41" s="320" t="s">
        <v>183</v>
      </c>
      <c r="G41" s="320" t="s">
        <v>183</v>
      </c>
      <c r="H41" s="321" t="s">
        <v>183</v>
      </c>
      <c r="I41" s="321" t="s">
        <v>183</v>
      </c>
      <c r="J41" s="319" t="s">
        <v>183</v>
      </c>
      <c r="K41" s="320" t="s">
        <v>183</v>
      </c>
      <c r="L41" s="320" t="s">
        <v>183</v>
      </c>
      <c r="M41" s="321" t="s">
        <v>183</v>
      </c>
      <c r="N41" s="321" t="s">
        <v>183</v>
      </c>
      <c r="O41" s="319" t="s">
        <v>183</v>
      </c>
      <c r="P41" s="320" t="s">
        <v>183</v>
      </c>
      <c r="Q41" s="320" t="s">
        <v>183</v>
      </c>
      <c r="R41" s="321" t="s">
        <v>183</v>
      </c>
      <c r="S41" s="321" t="s">
        <v>183</v>
      </c>
      <c r="T41" s="319" t="s">
        <v>183</v>
      </c>
      <c r="U41" s="320" t="s">
        <v>183</v>
      </c>
      <c r="V41" s="320" t="s">
        <v>183</v>
      </c>
      <c r="W41" s="321" t="s">
        <v>183</v>
      </c>
      <c r="X41" s="321" t="s">
        <v>183</v>
      </c>
    </row>
    <row r="42" spans="1:24" ht="18" customHeight="1" x14ac:dyDescent="0.2">
      <c r="A42" s="228" t="s">
        <v>226</v>
      </c>
      <c r="B42" s="264" t="s">
        <v>219</v>
      </c>
      <c r="C42" s="146"/>
      <c r="D42" s="146"/>
      <c r="E42" s="82"/>
      <c r="F42" s="82"/>
      <c r="G42" s="83">
        <f t="shared" ref="G42:G46" si="17">F42-E42</f>
        <v>0</v>
      </c>
      <c r="H42" s="79" t="str">
        <f t="shared" ref="H42:H46" si="18">IFERROR(G42/ABS(E42), "-")</f>
        <v>-</v>
      </c>
      <c r="I42" s="231"/>
      <c r="J42" s="82"/>
      <c r="K42" s="82"/>
      <c r="L42" s="83">
        <f t="shared" ref="L42:L46" si="19">K42-J42</f>
        <v>0</v>
      </c>
      <c r="M42" s="79" t="str">
        <f t="shared" ref="M42:M46" si="20">IFERROR(L42/ABS(J42), "-")</f>
        <v>-</v>
      </c>
      <c r="N42" s="231"/>
      <c r="O42" s="82"/>
      <c r="P42" s="82"/>
      <c r="Q42" s="83">
        <f t="shared" ref="Q42:Q46" si="21">P42-O42</f>
        <v>0</v>
      </c>
      <c r="R42" s="79" t="str">
        <f t="shared" ref="R42:R46" si="22">IFERROR(Q42/ABS(O42), "-")</f>
        <v>-</v>
      </c>
      <c r="S42" s="231"/>
      <c r="T42" s="82"/>
      <c r="U42" s="82"/>
      <c r="V42" s="83">
        <f t="shared" ref="V42:V46" si="23">U42-T42</f>
        <v>0</v>
      </c>
      <c r="W42" s="79" t="str">
        <f t="shared" ref="W42:W46" si="24">IFERROR(V42/ABS(T42), "-")</f>
        <v>-</v>
      </c>
      <c r="X42" s="231"/>
    </row>
    <row r="43" spans="1:24" ht="18" customHeight="1" x14ac:dyDescent="0.2">
      <c r="A43" s="228" t="s">
        <v>225</v>
      </c>
      <c r="B43" s="264" t="s">
        <v>460</v>
      </c>
      <c r="C43" s="146"/>
      <c r="D43" s="146"/>
      <c r="E43" s="82"/>
      <c r="F43" s="82"/>
      <c r="G43" s="83">
        <f t="shared" si="17"/>
        <v>0</v>
      </c>
      <c r="H43" s="79" t="str">
        <f t="shared" si="18"/>
        <v>-</v>
      </c>
      <c r="I43" s="231"/>
      <c r="J43" s="82"/>
      <c r="K43" s="82"/>
      <c r="L43" s="83">
        <f t="shared" si="19"/>
        <v>0</v>
      </c>
      <c r="M43" s="79" t="str">
        <f t="shared" si="20"/>
        <v>-</v>
      </c>
      <c r="N43" s="231"/>
      <c r="O43" s="82"/>
      <c r="P43" s="82"/>
      <c r="Q43" s="83">
        <f t="shared" si="21"/>
        <v>0</v>
      </c>
      <c r="R43" s="79" t="str">
        <f t="shared" si="22"/>
        <v>-</v>
      </c>
      <c r="S43" s="231"/>
      <c r="T43" s="82"/>
      <c r="U43" s="82"/>
      <c r="V43" s="83">
        <f t="shared" si="23"/>
        <v>0</v>
      </c>
      <c r="W43" s="79" t="str">
        <f t="shared" si="24"/>
        <v>-</v>
      </c>
      <c r="X43" s="231"/>
    </row>
    <row r="44" spans="1:24" ht="18" customHeight="1" x14ac:dyDescent="0.2">
      <c r="A44" s="228" t="s">
        <v>224</v>
      </c>
      <c r="B44" s="264" t="s">
        <v>461</v>
      </c>
      <c r="C44" s="146"/>
      <c r="D44" s="146"/>
      <c r="E44" s="82"/>
      <c r="F44" s="82"/>
      <c r="G44" s="83">
        <f t="shared" si="17"/>
        <v>0</v>
      </c>
      <c r="H44" s="79" t="str">
        <f t="shared" si="18"/>
        <v>-</v>
      </c>
      <c r="I44" s="231"/>
      <c r="J44" s="82"/>
      <c r="K44" s="82"/>
      <c r="L44" s="83">
        <f t="shared" si="19"/>
        <v>0</v>
      </c>
      <c r="M44" s="79" t="str">
        <f t="shared" si="20"/>
        <v>-</v>
      </c>
      <c r="N44" s="231"/>
      <c r="O44" s="82"/>
      <c r="P44" s="82"/>
      <c r="Q44" s="83">
        <f t="shared" si="21"/>
        <v>0</v>
      </c>
      <c r="R44" s="79" t="str">
        <f t="shared" si="22"/>
        <v>-</v>
      </c>
      <c r="S44" s="231"/>
      <c r="T44" s="82"/>
      <c r="U44" s="82"/>
      <c r="V44" s="83">
        <f t="shared" si="23"/>
        <v>0</v>
      </c>
      <c r="W44" s="79" t="str">
        <f t="shared" si="24"/>
        <v>-</v>
      </c>
      <c r="X44" s="231"/>
    </row>
    <row r="45" spans="1:24" ht="18" customHeight="1" x14ac:dyDescent="0.2">
      <c r="A45" s="228" t="s">
        <v>223</v>
      </c>
      <c r="B45" s="264" t="s">
        <v>215</v>
      </c>
      <c r="C45" s="146"/>
      <c r="D45" s="146"/>
      <c r="E45" s="82"/>
      <c r="F45" s="82"/>
      <c r="G45" s="83">
        <f t="shared" si="17"/>
        <v>0</v>
      </c>
      <c r="H45" s="79" t="str">
        <f t="shared" si="18"/>
        <v>-</v>
      </c>
      <c r="I45" s="231"/>
      <c r="J45" s="82"/>
      <c r="K45" s="82"/>
      <c r="L45" s="83">
        <f t="shared" si="19"/>
        <v>0</v>
      </c>
      <c r="M45" s="79" t="str">
        <f t="shared" si="20"/>
        <v>-</v>
      </c>
      <c r="N45" s="231"/>
      <c r="O45" s="82"/>
      <c r="P45" s="82"/>
      <c r="Q45" s="83">
        <f t="shared" si="21"/>
        <v>0</v>
      </c>
      <c r="R45" s="79" t="str">
        <f t="shared" si="22"/>
        <v>-</v>
      </c>
      <c r="S45" s="231"/>
      <c r="T45" s="82"/>
      <c r="U45" s="82"/>
      <c r="V45" s="83">
        <f t="shared" si="23"/>
        <v>0</v>
      </c>
      <c r="W45" s="79" t="str">
        <f t="shared" si="24"/>
        <v>-</v>
      </c>
      <c r="X45" s="231"/>
    </row>
    <row r="46" spans="1:24" ht="18" customHeight="1" x14ac:dyDescent="0.2">
      <c r="A46" s="228" t="s">
        <v>222</v>
      </c>
      <c r="B46" s="264" t="s">
        <v>462</v>
      </c>
      <c r="C46" s="146"/>
      <c r="D46" s="146"/>
      <c r="E46" s="82"/>
      <c r="F46" s="82"/>
      <c r="G46" s="83">
        <f t="shared" si="17"/>
        <v>0</v>
      </c>
      <c r="H46" s="79" t="str">
        <f t="shared" si="18"/>
        <v>-</v>
      </c>
      <c r="I46" s="231"/>
      <c r="J46" s="82"/>
      <c r="K46" s="82"/>
      <c r="L46" s="83">
        <f t="shared" si="19"/>
        <v>0</v>
      </c>
      <c r="M46" s="79" t="str">
        <f t="shared" si="20"/>
        <v>-</v>
      </c>
      <c r="N46" s="231"/>
      <c r="O46" s="82"/>
      <c r="P46" s="82"/>
      <c r="Q46" s="83">
        <f t="shared" si="21"/>
        <v>0</v>
      </c>
      <c r="R46" s="79" t="str">
        <f t="shared" si="22"/>
        <v>-</v>
      </c>
      <c r="S46" s="231"/>
      <c r="T46" s="82"/>
      <c r="U46" s="82"/>
      <c r="V46" s="83">
        <f t="shared" si="23"/>
        <v>0</v>
      </c>
      <c r="W46" s="79" t="str">
        <f t="shared" si="24"/>
        <v>-</v>
      </c>
      <c r="X46" s="231"/>
    </row>
    <row r="47" spans="1:24" ht="18" customHeight="1" x14ac:dyDescent="0.2">
      <c r="A47" s="316" t="s">
        <v>221</v>
      </c>
      <c r="B47" s="327" t="s">
        <v>382</v>
      </c>
      <c r="C47" s="328" t="s">
        <v>183</v>
      </c>
      <c r="D47" s="328" t="s">
        <v>183</v>
      </c>
      <c r="E47" s="319" t="s">
        <v>183</v>
      </c>
      <c r="F47" s="320" t="s">
        <v>183</v>
      </c>
      <c r="G47" s="320" t="s">
        <v>183</v>
      </c>
      <c r="H47" s="321" t="s">
        <v>183</v>
      </c>
      <c r="I47" s="321" t="s">
        <v>183</v>
      </c>
      <c r="J47" s="319" t="s">
        <v>183</v>
      </c>
      <c r="K47" s="320" t="s">
        <v>183</v>
      </c>
      <c r="L47" s="320" t="s">
        <v>183</v>
      </c>
      <c r="M47" s="321" t="s">
        <v>183</v>
      </c>
      <c r="N47" s="321" t="s">
        <v>183</v>
      </c>
      <c r="O47" s="319" t="s">
        <v>183</v>
      </c>
      <c r="P47" s="320" t="s">
        <v>183</v>
      </c>
      <c r="Q47" s="320" t="s">
        <v>183</v>
      </c>
      <c r="R47" s="321" t="s">
        <v>183</v>
      </c>
      <c r="S47" s="321" t="s">
        <v>183</v>
      </c>
      <c r="T47" s="319" t="s">
        <v>183</v>
      </c>
      <c r="U47" s="320" t="s">
        <v>183</v>
      </c>
      <c r="V47" s="320" t="s">
        <v>183</v>
      </c>
      <c r="W47" s="321" t="s">
        <v>183</v>
      </c>
      <c r="X47" s="321" t="s">
        <v>183</v>
      </c>
    </row>
    <row r="48" spans="1:24" ht="18" customHeight="1" x14ac:dyDescent="0.2">
      <c r="A48" s="228" t="s">
        <v>220</v>
      </c>
      <c r="B48" s="264" t="s">
        <v>219</v>
      </c>
      <c r="C48" s="146"/>
      <c r="D48" s="146"/>
      <c r="E48" s="82"/>
      <c r="F48" s="82"/>
      <c r="G48" s="83">
        <f t="shared" ref="G48:G52" si="25">F48-E48</f>
        <v>0</v>
      </c>
      <c r="H48" s="79" t="str">
        <f t="shared" ref="H48:H52" si="26">IFERROR(G48/ABS(E48), "-")</f>
        <v>-</v>
      </c>
      <c r="I48" s="231"/>
      <c r="J48" s="82"/>
      <c r="K48" s="82"/>
      <c r="L48" s="83">
        <f t="shared" ref="L48:L52" si="27">K48-J48</f>
        <v>0</v>
      </c>
      <c r="M48" s="79" t="str">
        <f t="shared" ref="M48:M52" si="28">IFERROR(L48/ABS(J48), "-")</f>
        <v>-</v>
      </c>
      <c r="N48" s="231"/>
      <c r="O48" s="82"/>
      <c r="P48" s="82"/>
      <c r="Q48" s="83">
        <f t="shared" ref="Q48:Q52" si="29">P48-O48</f>
        <v>0</v>
      </c>
      <c r="R48" s="79" t="str">
        <f t="shared" ref="R48:R52" si="30">IFERROR(Q48/ABS(O48), "-")</f>
        <v>-</v>
      </c>
      <c r="S48" s="231"/>
      <c r="T48" s="82"/>
      <c r="U48" s="82"/>
      <c r="V48" s="83">
        <f t="shared" ref="V48:V52" si="31">U48-T48</f>
        <v>0</v>
      </c>
      <c r="W48" s="79" t="str">
        <f t="shared" ref="W48:W52" si="32">IFERROR(V48/ABS(T48), "-")</f>
        <v>-</v>
      </c>
      <c r="X48" s="231"/>
    </row>
    <row r="49" spans="1:24" ht="18" customHeight="1" x14ac:dyDescent="0.2">
      <c r="A49" s="228" t="s">
        <v>218</v>
      </c>
      <c r="B49" s="264" t="s">
        <v>460</v>
      </c>
      <c r="C49" s="146"/>
      <c r="D49" s="146"/>
      <c r="E49" s="82"/>
      <c r="F49" s="82"/>
      <c r="G49" s="83">
        <f t="shared" si="25"/>
        <v>0</v>
      </c>
      <c r="H49" s="79" t="str">
        <f t="shared" si="26"/>
        <v>-</v>
      </c>
      <c r="I49" s="231"/>
      <c r="J49" s="82"/>
      <c r="K49" s="82"/>
      <c r="L49" s="83">
        <f t="shared" si="27"/>
        <v>0</v>
      </c>
      <c r="M49" s="79" t="str">
        <f t="shared" si="28"/>
        <v>-</v>
      </c>
      <c r="N49" s="231"/>
      <c r="O49" s="82"/>
      <c r="P49" s="82"/>
      <c r="Q49" s="83">
        <f t="shared" si="29"/>
        <v>0</v>
      </c>
      <c r="R49" s="79" t="str">
        <f t="shared" si="30"/>
        <v>-</v>
      </c>
      <c r="S49" s="231"/>
      <c r="T49" s="82"/>
      <c r="U49" s="82"/>
      <c r="V49" s="83">
        <f t="shared" si="31"/>
        <v>0</v>
      </c>
      <c r="W49" s="79" t="str">
        <f t="shared" si="32"/>
        <v>-</v>
      </c>
      <c r="X49" s="231"/>
    </row>
    <row r="50" spans="1:24" ht="18" customHeight="1" x14ac:dyDescent="0.2">
      <c r="A50" s="228" t="s">
        <v>217</v>
      </c>
      <c r="B50" s="264" t="s">
        <v>461</v>
      </c>
      <c r="C50" s="146"/>
      <c r="D50" s="146"/>
      <c r="E50" s="82"/>
      <c r="F50" s="82"/>
      <c r="G50" s="83">
        <f t="shared" si="25"/>
        <v>0</v>
      </c>
      <c r="H50" s="79" t="str">
        <f t="shared" si="26"/>
        <v>-</v>
      </c>
      <c r="I50" s="231"/>
      <c r="J50" s="82"/>
      <c r="K50" s="82"/>
      <c r="L50" s="83">
        <f t="shared" si="27"/>
        <v>0</v>
      </c>
      <c r="M50" s="79" t="str">
        <f t="shared" si="28"/>
        <v>-</v>
      </c>
      <c r="N50" s="231"/>
      <c r="O50" s="82"/>
      <c r="P50" s="82"/>
      <c r="Q50" s="83">
        <f t="shared" si="29"/>
        <v>0</v>
      </c>
      <c r="R50" s="79" t="str">
        <f t="shared" si="30"/>
        <v>-</v>
      </c>
      <c r="S50" s="231"/>
      <c r="T50" s="82"/>
      <c r="U50" s="82"/>
      <c r="V50" s="83">
        <f t="shared" si="31"/>
        <v>0</v>
      </c>
      <c r="W50" s="79" t="str">
        <f t="shared" si="32"/>
        <v>-</v>
      </c>
      <c r="X50" s="231"/>
    </row>
    <row r="51" spans="1:24" ht="18" customHeight="1" x14ac:dyDescent="0.2">
      <c r="A51" s="228" t="s">
        <v>216</v>
      </c>
      <c r="B51" s="264" t="s">
        <v>215</v>
      </c>
      <c r="C51" s="146"/>
      <c r="D51" s="146"/>
      <c r="E51" s="82"/>
      <c r="F51" s="82"/>
      <c r="G51" s="83">
        <f t="shared" si="25"/>
        <v>0</v>
      </c>
      <c r="H51" s="79" t="str">
        <f t="shared" si="26"/>
        <v>-</v>
      </c>
      <c r="I51" s="231"/>
      <c r="J51" s="82"/>
      <c r="K51" s="82"/>
      <c r="L51" s="83">
        <f t="shared" si="27"/>
        <v>0</v>
      </c>
      <c r="M51" s="79" t="str">
        <f t="shared" si="28"/>
        <v>-</v>
      </c>
      <c r="N51" s="231"/>
      <c r="O51" s="82"/>
      <c r="P51" s="82"/>
      <c r="Q51" s="83">
        <f t="shared" si="29"/>
        <v>0</v>
      </c>
      <c r="R51" s="79" t="str">
        <f t="shared" si="30"/>
        <v>-</v>
      </c>
      <c r="S51" s="231"/>
      <c r="T51" s="82"/>
      <c r="U51" s="82"/>
      <c r="V51" s="83">
        <f t="shared" si="31"/>
        <v>0</v>
      </c>
      <c r="W51" s="79" t="str">
        <f t="shared" si="32"/>
        <v>-</v>
      </c>
      <c r="X51" s="231"/>
    </row>
    <row r="52" spans="1:24" ht="18" customHeight="1" x14ac:dyDescent="0.2">
      <c r="A52" s="228" t="s">
        <v>214</v>
      </c>
      <c r="B52" s="264" t="s">
        <v>462</v>
      </c>
      <c r="C52" s="146"/>
      <c r="D52" s="146"/>
      <c r="E52" s="82"/>
      <c r="F52" s="82"/>
      <c r="G52" s="83">
        <f t="shared" si="25"/>
        <v>0</v>
      </c>
      <c r="H52" s="79" t="str">
        <f t="shared" si="26"/>
        <v>-</v>
      </c>
      <c r="I52" s="231"/>
      <c r="J52" s="82"/>
      <c r="K52" s="82"/>
      <c r="L52" s="83">
        <f t="shared" si="27"/>
        <v>0</v>
      </c>
      <c r="M52" s="79" t="str">
        <f t="shared" si="28"/>
        <v>-</v>
      </c>
      <c r="N52" s="231"/>
      <c r="O52" s="82"/>
      <c r="P52" s="82"/>
      <c r="Q52" s="83">
        <f t="shared" si="29"/>
        <v>0</v>
      </c>
      <c r="R52" s="79" t="str">
        <f t="shared" si="30"/>
        <v>-</v>
      </c>
      <c r="S52" s="231"/>
      <c r="T52" s="82"/>
      <c r="U52" s="82"/>
      <c r="V52" s="83">
        <f t="shared" si="31"/>
        <v>0</v>
      </c>
      <c r="W52" s="79" t="str">
        <f t="shared" si="32"/>
        <v>-</v>
      </c>
      <c r="X52" s="231"/>
    </row>
    <row r="53" spans="1:24" ht="18" customHeight="1" x14ac:dyDescent="0.2">
      <c r="A53" s="316" t="s">
        <v>213</v>
      </c>
      <c r="B53" s="329" t="s">
        <v>383</v>
      </c>
      <c r="C53" s="330" t="s">
        <v>183</v>
      </c>
      <c r="D53" s="330" t="s">
        <v>183</v>
      </c>
      <c r="E53" s="319" t="s">
        <v>183</v>
      </c>
      <c r="F53" s="320" t="s">
        <v>183</v>
      </c>
      <c r="G53" s="320" t="s">
        <v>183</v>
      </c>
      <c r="H53" s="321" t="s">
        <v>183</v>
      </c>
      <c r="I53" s="321" t="s">
        <v>183</v>
      </c>
      <c r="J53" s="319" t="s">
        <v>183</v>
      </c>
      <c r="K53" s="320" t="s">
        <v>183</v>
      </c>
      <c r="L53" s="320" t="s">
        <v>183</v>
      </c>
      <c r="M53" s="321" t="s">
        <v>183</v>
      </c>
      <c r="N53" s="321" t="s">
        <v>183</v>
      </c>
      <c r="O53" s="319" t="s">
        <v>183</v>
      </c>
      <c r="P53" s="320" t="s">
        <v>183</v>
      </c>
      <c r="Q53" s="320" t="s">
        <v>183</v>
      </c>
      <c r="R53" s="321" t="s">
        <v>183</v>
      </c>
      <c r="S53" s="321" t="s">
        <v>183</v>
      </c>
      <c r="T53" s="319" t="s">
        <v>183</v>
      </c>
      <c r="U53" s="320" t="s">
        <v>183</v>
      </c>
      <c r="V53" s="320" t="s">
        <v>183</v>
      </c>
      <c r="W53" s="321" t="s">
        <v>183</v>
      </c>
      <c r="X53" s="321" t="s">
        <v>183</v>
      </c>
    </row>
    <row r="54" spans="1:24" ht="18" customHeight="1" x14ac:dyDescent="0.2">
      <c r="A54" s="257" t="s">
        <v>212</v>
      </c>
      <c r="B54" s="130" t="s">
        <v>211</v>
      </c>
      <c r="C54" s="120">
        <v>605</v>
      </c>
      <c r="D54" s="120">
        <v>617</v>
      </c>
      <c r="E54" s="120">
        <f t="shared" ref="E54" si="33">SUM(E55:E59)</f>
        <v>611</v>
      </c>
      <c r="F54" s="120"/>
      <c r="G54" s="123">
        <f t="shared" ref="G54:G77" si="34">F54-E54</f>
        <v>-611</v>
      </c>
      <c r="H54" s="124">
        <f>IFERROR(G54/ABS(E54), "-")</f>
        <v>-1</v>
      </c>
      <c r="I54" s="265"/>
      <c r="J54" s="120">
        <v>615</v>
      </c>
      <c r="K54" s="120">
        <f t="shared" ref="K54" si="35">SUM(K55:K59)</f>
        <v>0</v>
      </c>
      <c r="L54" s="123">
        <f t="shared" ref="L54:L59" si="36">K54-J54</f>
        <v>-615</v>
      </c>
      <c r="M54" s="124">
        <f t="shared" ref="M54:M77" si="37">IFERROR(L54/ABS(J54), "-")</f>
        <v>-1</v>
      </c>
      <c r="N54" s="265"/>
      <c r="O54" s="120">
        <v>576</v>
      </c>
      <c r="P54" s="120">
        <f t="shared" ref="P54" si="38">SUM(P55:P59)</f>
        <v>0</v>
      </c>
      <c r="Q54" s="123">
        <f t="shared" ref="Q54:Q59" si="39">P54-O54</f>
        <v>-576</v>
      </c>
      <c r="R54" s="124">
        <f t="shared" ref="R54:R77" si="40">IFERROR(Q54/ABS(O54), "-")</f>
        <v>-1</v>
      </c>
      <c r="S54" s="265"/>
      <c r="T54" s="120">
        <v>617</v>
      </c>
      <c r="U54" s="120">
        <f t="shared" ref="U54" si="41">SUM(U55:U59)</f>
        <v>0</v>
      </c>
      <c r="V54" s="123">
        <f t="shared" ref="V54:V59" si="42">U54-T54</f>
        <v>-617</v>
      </c>
      <c r="W54" s="124">
        <f t="shared" ref="W54:W77" si="43">IFERROR(V54/ABS(T54), "-")</f>
        <v>-1</v>
      </c>
      <c r="X54" s="265"/>
    </row>
    <row r="55" spans="1:24" ht="18" customHeight="1" x14ac:dyDescent="0.2">
      <c r="A55" s="245" t="s">
        <v>210</v>
      </c>
      <c r="B55" s="266" t="s">
        <v>463</v>
      </c>
      <c r="C55" s="82">
        <v>119</v>
      </c>
      <c r="D55" s="82">
        <v>128</v>
      </c>
      <c r="E55" s="248">
        <v>129</v>
      </c>
      <c r="F55" s="248"/>
      <c r="G55" s="249">
        <f t="shared" si="34"/>
        <v>-129</v>
      </c>
      <c r="H55" s="79">
        <f t="shared" ref="H55:H77" si="44">IFERROR(G55/ABS(E55), "-")</f>
        <v>-1</v>
      </c>
      <c r="I55" s="231"/>
      <c r="J55" s="248">
        <v>130</v>
      </c>
      <c r="K55" s="248"/>
      <c r="L55" s="249">
        <f t="shared" si="36"/>
        <v>-130</v>
      </c>
      <c r="M55" s="79">
        <f t="shared" si="37"/>
        <v>-1</v>
      </c>
      <c r="N55" s="231"/>
      <c r="O55" s="248">
        <v>127</v>
      </c>
      <c r="P55" s="248"/>
      <c r="Q55" s="249">
        <f t="shared" si="39"/>
        <v>-127</v>
      </c>
      <c r="R55" s="79">
        <f t="shared" si="40"/>
        <v>-1</v>
      </c>
      <c r="S55" s="231"/>
      <c r="T55" s="248">
        <v>128</v>
      </c>
      <c r="U55" s="248"/>
      <c r="V55" s="249">
        <f t="shared" si="42"/>
        <v>-128</v>
      </c>
      <c r="W55" s="79">
        <f t="shared" si="43"/>
        <v>-1</v>
      </c>
      <c r="X55" s="231"/>
    </row>
    <row r="56" spans="1:24" ht="18" customHeight="1" x14ac:dyDescent="0.2">
      <c r="A56" s="245" t="s">
        <v>209</v>
      </c>
      <c r="B56" s="266" t="s">
        <v>464</v>
      </c>
      <c r="C56" s="82">
        <v>199</v>
      </c>
      <c r="D56" s="82">
        <v>192</v>
      </c>
      <c r="E56" s="82">
        <v>186</v>
      </c>
      <c r="F56" s="82"/>
      <c r="G56" s="83">
        <f t="shared" si="34"/>
        <v>-186</v>
      </c>
      <c r="H56" s="79">
        <f t="shared" si="44"/>
        <v>-1</v>
      </c>
      <c r="I56" s="231"/>
      <c r="J56" s="82">
        <v>183</v>
      </c>
      <c r="K56" s="82"/>
      <c r="L56" s="83">
        <f t="shared" si="36"/>
        <v>-183</v>
      </c>
      <c r="M56" s="79">
        <f t="shared" si="37"/>
        <v>-1</v>
      </c>
      <c r="N56" s="231"/>
      <c r="O56" s="82">
        <v>192</v>
      </c>
      <c r="P56" s="82"/>
      <c r="Q56" s="83">
        <f t="shared" si="39"/>
        <v>-192</v>
      </c>
      <c r="R56" s="79">
        <f t="shared" si="40"/>
        <v>-1</v>
      </c>
      <c r="S56" s="231"/>
      <c r="T56" s="82">
        <v>192</v>
      </c>
      <c r="U56" s="82"/>
      <c r="V56" s="83">
        <f t="shared" si="42"/>
        <v>-192</v>
      </c>
      <c r="W56" s="79">
        <f t="shared" si="43"/>
        <v>-1</v>
      </c>
      <c r="X56" s="231"/>
    </row>
    <row r="57" spans="1:24" ht="18" customHeight="1" x14ac:dyDescent="0.2">
      <c r="A57" s="245" t="s">
        <v>208</v>
      </c>
      <c r="B57" s="68" t="s">
        <v>465</v>
      </c>
      <c r="C57" s="250">
        <v>46</v>
      </c>
      <c r="D57" s="250">
        <v>48</v>
      </c>
      <c r="E57" s="82">
        <v>45</v>
      </c>
      <c r="F57" s="82"/>
      <c r="G57" s="83">
        <f t="shared" si="34"/>
        <v>-45</v>
      </c>
      <c r="H57" s="79">
        <f t="shared" si="44"/>
        <v>-1</v>
      </c>
      <c r="I57" s="231"/>
      <c r="J57" s="82">
        <v>43</v>
      </c>
      <c r="K57" s="82"/>
      <c r="L57" s="83">
        <f t="shared" si="36"/>
        <v>-43</v>
      </c>
      <c r="M57" s="79">
        <f t="shared" si="37"/>
        <v>-1</v>
      </c>
      <c r="N57" s="231"/>
      <c r="O57" s="82">
        <v>48</v>
      </c>
      <c r="P57" s="82"/>
      <c r="Q57" s="83">
        <f t="shared" si="39"/>
        <v>-48</v>
      </c>
      <c r="R57" s="79">
        <f t="shared" si="40"/>
        <v>-1</v>
      </c>
      <c r="S57" s="231"/>
      <c r="T57" s="82">
        <v>48</v>
      </c>
      <c r="U57" s="82"/>
      <c r="V57" s="83">
        <f t="shared" si="42"/>
        <v>-48</v>
      </c>
      <c r="W57" s="79">
        <f t="shared" si="43"/>
        <v>-1</v>
      </c>
      <c r="X57" s="231"/>
    </row>
    <row r="58" spans="1:24" ht="18" customHeight="1" x14ac:dyDescent="0.2">
      <c r="A58" s="245" t="s">
        <v>207</v>
      </c>
      <c r="B58" s="68" t="s">
        <v>466</v>
      </c>
      <c r="C58" s="250">
        <v>37</v>
      </c>
      <c r="D58" s="250">
        <v>39</v>
      </c>
      <c r="E58" s="82">
        <v>40</v>
      </c>
      <c r="F58" s="82"/>
      <c r="G58" s="83">
        <f t="shared" si="34"/>
        <v>-40</v>
      </c>
      <c r="H58" s="79">
        <f t="shared" si="44"/>
        <v>-1</v>
      </c>
      <c r="I58" s="231"/>
      <c r="J58" s="82">
        <v>40</v>
      </c>
      <c r="K58" s="82"/>
      <c r="L58" s="83">
        <f t="shared" si="36"/>
        <v>-40</v>
      </c>
      <c r="M58" s="79">
        <f t="shared" si="37"/>
        <v>-1</v>
      </c>
      <c r="N58" s="231"/>
      <c r="O58" s="82">
        <v>39</v>
      </c>
      <c r="P58" s="82"/>
      <c r="Q58" s="83">
        <f t="shared" si="39"/>
        <v>-39</v>
      </c>
      <c r="R58" s="79">
        <f t="shared" si="40"/>
        <v>-1</v>
      </c>
      <c r="S58" s="231"/>
      <c r="T58" s="82">
        <v>39</v>
      </c>
      <c r="U58" s="82"/>
      <c r="V58" s="83">
        <f t="shared" si="42"/>
        <v>-39</v>
      </c>
      <c r="W58" s="79">
        <f t="shared" si="43"/>
        <v>-1</v>
      </c>
      <c r="X58" s="231"/>
    </row>
    <row r="59" spans="1:24" ht="18" customHeight="1" x14ac:dyDescent="0.2">
      <c r="A59" s="245" t="s">
        <v>206</v>
      </c>
      <c r="B59" s="68" t="s">
        <v>467</v>
      </c>
      <c r="C59" s="250">
        <v>204</v>
      </c>
      <c r="D59" s="250">
        <v>210</v>
      </c>
      <c r="E59" s="82">
        <v>211</v>
      </c>
      <c r="F59" s="82"/>
      <c r="G59" s="83">
        <f t="shared" si="34"/>
        <v>-211</v>
      </c>
      <c r="H59" s="79">
        <f>IFERROR(G59/ABS(E59), "-")</f>
        <v>-1</v>
      </c>
      <c r="I59" s="231"/>
      <c r="J59" s="82">
        <v>219</v>
      </c>
      <c r="K59" s="82"/>
      <c r="L59" s="83">
        <f t="shared" si="36"/>
        <v>-219</v>
      </c>
      <c r="M59" s="79">
        <f t="shared" si="37"/>
        <v>-1</v>
      </c>
      <c r="N59" s="231"/>
      <c r="O59" s="82">
        <v>209</v>
      </c>
      <c r="P59" s="82"/>
      <c r="Q59" s="83">
        <f t="shared" si="39"/>
        <v>-209</v>
      </c>
      <c r="R59" s="79">
        <f t="shared" si="40"/>
        <v>-1</v>
      </c>
      <c r="S59" s="231"/>
      <c r="T59" s="82">
        <v>210</v>
      </c>
      <c r="U59" s="82"/>
      <c r="V59" s="83">
        <f t="shared" si="42"/>
        <v>-210</v>
      </c>
      <c r="W59" s="79">
        <f t="shared" si="43"/>
        <v>-1</v>
      </c>
      <c r="X59" s="231"/>
    </row>
    <row r="60" spans="1:24" ht="18" customHeight="1" x14ac:dyDescent="0.2">
      <c r="A60" s="257" t="s">
        <v>205</v>
      </c>
      <c r="B60" s="267" t="s">
        <v>204</v>
      </c>
      <c r="C60" s="120">
        <v>1618</v>
      </c>
      <c r="D60" s="120">
        <v>1717.2</v>
      </c>
      <c r="E60" s="120">
        <f t="shared" ref="E60" si="45">IFERROR((E61*E55+E62*E56+E63*E57+E64*E58+E65*E59)/E54, "-")</f>
        <v>1592.1702127659576</v>
      </c>
      <c r="F60" s="120"/>
      <c r="G60" s="123"/>
      <c r="H60" s="124">
        <f t="shared" si="44"/>
        <v>0</v>
      </c>
      <c r="I60" s="265"/>
      <c r="J60" s="120">
        <v>1719.36637398374</v>
      </c>
      <c r="K60" s="120" t="str">
        <f t="shared" ref="K60" si="46">IFERROR((K61*K55+K62*K56+K63*K57+K64*K58+K65*K59)/K54, "-")</f>
        <v>-</v>
      </c>
      <c r="L60" s="123"/>
      <c r="M60" s="124">
        <f t="shared" si="37"/>
        <v>0</v>
      </c>
      <c r="N60" s="265"/>
      <c r="O60" s="120">
        <v>1689.4</v>
      </c>
      <c r="P60" s="120" t="str">
        <f t="shared" ref="P60" si="47">IFERROR((P61*P55+P62*P56+P63*P57+P64*P58+P65*P59)/P54, "-")</f>
        <v>-</v>
      </c>
      <c r="Q60" s="123"/>
      <c r="R60" s="124">
        <f t="shared" si="40"/>
        <v>0</v>
      </c>
      <c r="S60" s="265"/>
      <c r="T60" s="120">
        <v>1717.2</v>
      </c>
      <c r="U60" s="120" t="str">
        <f t="shared" ref="U60" si="48">IFERROR((U61*U55+U62*U56+U63*U57+U64*U58+U65*U59)/U54, "-")</f>
        <v>-</v>
      </c>
      <c r="V60" s="123"/>
      <c r="W60" s="124">
        <f t="shared" si="43"/>
        <v>0</v>
      </c>
      <c r="X60" s="265"/>
    </row>
    <row r="61" spans="1:24" ht="18" customHeight="1" x14ac:dyDescent="0.2">
      <c r="A61" s="245" t="s">
        <v>203</v>
      </c>
      <c r="B61" s="266" t="s">
        <v>463</v>
      </c>
      <c r="C61" s="82">
        <v>2674.99</v>
      </c>
      <c r="D61" s="82">
        <v>2738</v>
      </c>
      <c r="E61" s="248">
        <v>2524</v>
      </c>
      <c r="F61" s="248"/>
      <c r="G61" s="83">
        <f t="shared" si="34"/>
        <v>-2524</v>
      </c>
      <c r="H61" s="79">
        <f t="shared" si="44"/>
        <v>-1</v>
      </c>
      <c r="I61" s="231"/>
      <c r="J61" s="82">
        <v>2711.54</v>
      </c>
      <c r="K61" s="248"/>
      <c r="L61" s="83">
        <f t="shared" ref="L61:L77" si="49">K61-J61</f>
        <v>-2711.54</v>
      </c>
      <c r="M61" s="79">
        <f t="shared" si="37"/>
        <v>-1</v>
      </c>
      <c r="N61" s="231"/>
      <c r="O61" s="82">
        <v>2683</v>
      </c>
      <c r="P61" s="248"/>
      <c r="Q61" s="83">
        <f t="shared" ref="Q61:Q77" si="50">P61-O61</f>
        <v>-2683</v>
      </c>
      <c r="R61" s="79">
        <f t="shared" si="40"/>
        <v>-1</v>
      </c>
      <c r="S61" s="231"/>
      <c r="T61" s="82">
        <v>2738</v>
      </c>
      <c r="U61" s="248"/>
      <c r="V61" s="83">
        <f t="shared" ref="V61:V77" si="51">U61-T61</f>
        <v>-2738</v>
      </c>
      <c r="W61" s="79">
        <f t="shared" si="43"/>
        <v>-1</v>
      </c>
      <c r="X61" s="231"/>
    </row>
    <row r="62" spans="1:24" ht="18" customHeight="1" x14ac:dyDescent="0.2">
      <c r="A62" s="245" t="s">
        <v>202</v>
      </c>
      <c r="B62" s="266" t="s">
        <v>464</v>
      </c>
      <c r="C62" s="82">
        <v>1658.96</v>
      </c>
      <c r="D62" s="82">
        <v>1694</v>
      </c>
      <c r="E62" s="248">
        <v>1632</v>
      </c>
      <c r="F62" s="248"/>
      <c r="G62" s="83">
        <f t="shared" si="34"/>
        <v>-1632</v>
      </c>
      <c r="H62" s="79">
        <f t="shared" si="44"/>
        <v>-1</v>
      </c>
      <c r="I62" s="231"/>
      <c r="J62" s="82">
        <v>1784.18</v>
      </c>
      <c r="K62" s="248"/>
      <c r="L62" s="83">
        <f t="shared" si="49"/>
        <v>-1784.18</v>
      </c>
      <c r="M62" s="79">
        <f t="shared" si="37"/>
        <v>-1</v>
      </c>
      <c r="N62" s="231"/>
      <c r="O62" s="82">
        <v>1673</v>
      </c>
      <c r="P62" s="248"/>
      <c r="Q62" s="83">
        <f t="shared" si="50"/>
        <v>-1673</v>
      </c>
      <c r="R62" s="79">
        <f t="shared" si="40"/>
        <v>-1</v>
      </c>
      <c r="S62" s="231"/>
      <c r="T62" s="82">
        <v>1694</v>
      </c>
      <c r="U62" s="248"/>
      <c r="V62" s="83">
        <f t="shared" si="51"/>
        <v>-1694</v>
      </c>
      <c r="W62" s="79">
        <f t="shared" si="43"/>
        <v>-1</v>
      </c>
      <c r="X62" s="231"/>
    </row>
    <row r="63" spans="1:24" ht="18" customHeight="1" x14ac:dyDescent="0.2">
      <c r="A63" s="245" t="s">
        <v>201</v>
      </c>
      <c r="B63" s="68" t="s">
        <v>465</v>
      </c>
      <c r="C63" s="250">
        <v>963.65</v>
      </c>
      <c r="D63" s="250">
        <v>949</v>
      </c>
      <c r="E63" s="248">
        <v>947</v>
      </c>
      <c r="F63" s="248"/>
      <c r="G63" s="83">
        <f t="shared" si="34"/>
        <v>-947</v>
      </c>
      <c r="H63" s="79">
        <f t="shared" si="44"/>
        <v>-1</v>
      </c>
      <c r="I63" s="231"/>
      <c r="J63" s="82">
        <v>1069.4000000000001</v>
      </c>
      <c r="K63" s="248"/>
      <c r="L63" s="83">
        <f t="shared" si="49"/>
        <v>-1069.4000000000001</v>
      </c>
      <c r="M63" s="79">
        <f t="shared" si="37"/>
        <v>-1</v>
      </c>
      <c r="N63" s="231"/>
      <c r="O63" s="82">
        <v>940</v>
      </c>
      <c r="P63" s="248"/>
      <c r="Q63" s="83">
        <f t="shared" si="50"/>
        <v>-940</v>
      </c>
      <c r="R63" s="79">
        <f t="shared" si="40"/>
        <v>-1</v>
      </c>
      <c r="S63" s="231"/>
      <c r="T63" s="82">
        <v>949</v>
      </c>
      <c r="U63" s="248"/>
      <c r="V63" s="83">
        <f t="shared" si="51"/>
        <v>-949</v>
      </c>
      <c r="W63" s="79">
        <f t="shared" si="43"/>
        <v>-1</v>
      </c>
      <c r="X63" s="231"/>
    </row>
    <row r="64" spans="1:24" ht="18" customHeight="1" x14ac:dyDescent="0.2">
      <c r="A64" s="245" t="s">
        <v>200</v>
      </c>
      <c r="B64" s="68" t="s">
        <v>466</v>
      </c>
      <c r="C64" s="250">
        <v>2086.4499999999998</v>
      </c>
      <c r="D64" s="250">
        <v>2160</v>
      </c>
      <c r="E64" s="248">
        <v>2130</v>
      </c>
      <c r="F64" s="248"/>
      <c r="G64" s="83">
        <f t="shared" si="34"/>
        <v>-2130</v>
      </c>
      <c r="H64" s="79">
        <f t="shared" si="44"/>
        <v>-1</v>
      </c>
      <c r="I64" s="231"/>
      <c r="J64" s="82">
        <v>2234.2600000000002</v>
      </c>
      <c r="K64" s="248"/>
      <c r="L64" s="83">
        <f t="shared" si="49"/>
        <v>-2234.2600000000002</v>
      </c>
      <c r="M64" s="79">
        <f t="shared" si="37"/>
        <v>-1</v>
      </c>
      <c r="N64" s="231"/>
      <c r="O64" s="82">
        <v>2133</v>
      </c>
      <c r="P64" s="248"/>
      <c r="Q64" s="83">
        <f t="shared" si="50"/>
        <v>-2133</v>
      </c>
      <c r="R64" s="79">
        <f t="shared" si="40"/>
        <v>-1</v>
      </c>
      <c r="S64" s="231"/>
      <c r="T64" s="82">
        <v>2160</v>
      </c>
      <c r="U64" s="248"/>
      <c r="V64" s="83">
        <f t="shared" si="51"/>
        <v>-2160</v>
      </c>
      <c r="W64" s="79">
        <f t="shared" si="43"/>
        <v>-1</v>
      </c>
      <c r="X64" s="231"/>
    </row>
    <row r="65" spans="1:24" ht="18" customHeight="1" x14ac:dyDescent="0.2">
      <c r="A65" s="245" t="s">
        <v>199</v>
      </c>
      <c r="B65" s="68" t="s">
        <v>467</v>
      </c>
      <c r="C65" s="250">
        <v>1014.55</v>
      </c>
      <c r="D65" s="250">
        <v>1045</v>
      </c>
      <c r="E65" s="248">
        <v>1023</v>
      </c>
      <c r="F65" s="248"/>
      <c r="G65" s="83">
        <f t="shared" si="34"/>
        <v>-1023</v>
      </c>
      <c r="H65" s="79">
        <f t="shared" si="44"/>
        <v>-1</v>
      </c>
      <c r="I65" s="231"/>
      <c r="J65" s="82">
        <v>1109.82</v>
      </c>
      <c r="K65" s="248"/>
      <c r="L65" s="83">
        <f t="shared" si="49"/>
        <v>-1109.82</v>
      </c>
      <c r="M65" s="79">
        <f t="shared" si="37"/>
        <v>-1</v>
      </c>
      <c r="N65" s="231"/>
      <c r="O65" s="82">
        <v>1018</v>
      </c>
      <c r="P65" s="248"/>
      <c r="Q65" s="83">
        <f t="shared" si="50"/>
        <v>-1018</v>
      </c>
      <c r="R65" s="79">
        <f t="shared" si="40"/>
        <v>-1</v>
      </c>
      <c r="S65" s="231"/>
      <c r="T65" s="82">
        <v>1045</v>
      </c>
      <c r="U65" s="248"/>
      <c r="V65" s="83">
        <f t="shared" si="51"/>
        <v>-1045</v>
      </c>
      <c r="W65" s="79">
        <f t="shared" si="43"/>
        <v>-1</v>
      </c>
      <c r="X65" s="231"/>
    </row>
    <row r="66" spans="1:24" ht="18" customHeight="1" x14ac:dyDescent="0.2">
      <c r="A66" s="257" t="s">
        <v>198</v>
      </c>
      <c r="B66" s="130" t="s">
        <v>197</v>
      </c>
      <c r="C66" s="120">
        <v>589</v>
      </c>
      <c r="D66" s="120">
        <v>602</v>
      </c>
      <c r="E66" s="120">
        <f t="shared" ref="E66" si="52">SUM(E67:E71)</f>
        <v>603</v>
      </c>
      <c r="F66" s="120"/>
      <c r="G66" s="123">
        <f t="shared" si="34"/>
        <v>-603</v>
      </c>
      <c r="H66" s="124">
        <f t="shared" si="44"/>
        <v>-1</v>
      </c>
      <c r="I66" s="265"/>
      <c r="J66" s="120">
        <v>602</v>
      </c>
      <c r="K66" s="120">
        <f t="shared" ref="K66" si="53">SUM(K67:K71)</f>
        <v>0</v>
      </c>
      <c r="L66" s="123">
        <f t="shared" si="49"/>
        <v>-602</v>
      </c>
      <c r="M66" s="124">
        <f t="shared" si="37"/>
        <v>-1</v>
      </c>
      <c r="N66" s="265"/>
      <c r="O66" s="120">
        <v>600</v>
      </c>
      <c r="P66" s="120">
        <f t="shared" ref="P66" si="54">SUM(P67:P71)</f>
        <v>0</v>
      </c>
      <c r="Q66" s="123">
        <f t="shared" si="50"/>
        <v>-600</v>
      </c>
      <c r="R66" s="124">
        <f t="shared" si="40"/>
        <v>-1</v>
      </c>
      <c r="S66" s="265"/>
      <c r="T66" s="120">
        <v>602</v>
      </c>
      <c r="U66" s="120">
        <f t="shared" ref="U66" si="55">SUM(U67:U71)</f>
        <v>0</v>
      </c>
      <c r="V66" s="123">
        <f t="shared" si="51"/>
        <v>-602</v>
      </c>
      <c r="W66" s="124">
        <f t="shared" si="43"/>
        <v>-1</v>
      </c>
      <c r="X66" s="265"/>
    </row>
    <row r="67" spans="1:24" ht="18" customHeight="1" x14ac:dyDescent="0.2">
      <c r="A67" s="245" t="s">
        <v>196</v>
      </c>
      <c r="B67" s="266" t="s">
        <v>463</v>
      </c>
      <c r="C67" s="82">
        <v>115</v>
      </c>
      <c r="D67" s="82">
        <v>128</v>
      </c>
      <c r="E67" s="248">
        <v>126</v>
      </c>
      <c r="F67" s="248"/>
      <c r="G67" s="249">
        <f t="shared" si="34"/>
        <v>-126</v>
      </c>
      <c r="H67" s="79">
        <f t="shared" si="44"/>
        <v>-1</v>
      </c>
      <c r="I67" s="231"/>
      <c r="J67" s="248">
        <v>126</v>
      </c>
      <c r="K67" s="248"/>
      <c r="L67" s="249">
        <f t="shared" si="49"/>
        <v>-126</v>
      </c>
      <c r="M67" s="79">
        <f t="shared" si="37"/>
        <v>-1</v>
      </c>
      <c r="N67" s="231"/>
      <c r="O67" s="248">
        <v>127</v>
      </c>
      <c r="P67" s="248"/>
      <c r="Q67" s="249">
        <f t="shared" si="50"/>
        <v>-127</v>
      </c>
      <c r="R67" s="79">
        <f t="shared" si="40"/>
        <v>-1</v>
      </c>
      <c r="S67" s="231"/>
      <c r="T67" s="248">
        <v>128</v>
      </c>
      <c r="U67" s="248"/>
      <c r="V67" s="249">
        <f t="shared" si="51"/>
        <v>-128</v>
      </c>
      <c r="W67" s="79">
        <f t="shared" si="43"/>
        <v>-1</v>
      </c>
      <c r="X67" s="231"/>
    </row>
    <row r="68" spans="1:24" ht="18" customHeight="1" x14ac:dyDescent="0.2">
      <c r="A68" s="245" t="s">
        <v>195</v>
      </c>
      <c r="B68" s="266" t="s">
        <v>464</v>
      </c>
      <c r="C68" s="82">
        <v>184</v>
      </c>
      <c r="D68" s="82">
        <v>178</v>
      </c>
      <c r="E68" s="82">
        <v>169</v>
      </c>
      <c r="F68" s="82"/>
      <c r="G68" s="83">
        <f t="shared" si="34"/>
        <v>-169</v>
      </c>
      <c r="H68" s="79">
        <f t="shared" si="44"/>
        <v>-1</v>
      </c>
      <c r="I68" s="231"/>
      <c r="J68" s="82">
        <v>169</v>
      </c>
      <c r="K68" s="82"/>
      <c r="L68" s="83">
        <f t="shared" si="49"/>
        <v>-169</v>
      </c>
      <c r="M68" s="79">
        <f t="shared" si="37"/>
        <v>-1</v>
      </c>
      <c r="N68" s="231"/>
      <c r="O68" s="82">
        <v>178</v>
      </c>
      <c r="P68" s="82"/>
      <c r="Q68" s="83">
        <f t="shared" si="50"/>
        <v>-178</v>
      </c>
      <c r="R68" s="79">
        <f t="shared" si="40"/>
        <v>-1</v>
      </c>
      <c r="S68" s="231"/>
      <c r="T68" s="82">
        <v>178</v>
      </c>
      <c r="U68" s="82"/>
      <c r="V68" s="83">
        <f t="shared" si="51"/>
        <v>-178</v>
      </c>
      <c r="W68" s="79">
        <f t="shared" si="43"/>
        <v>-1</v>
      </c>
      <c r="X68" s="231"/>
    </row>
    <row r="69" spans="1:24" ht="18" customHeight="1" x14ac:dyDescent="0.2">
      <c r="A69" s="245" t="s">
        <v>194</v>
      </c>
      <c r="B69" s="68" t="s">
        <v>465</v>
      </c>
      <c r="C69" s="250">
        <v>44</v>
      </c>
      <c r="D69" s="250">
        <v>47</v>
      </c>
      <c r="E69" s="82">
        <v>44</v>
      </c>
      <c r="F69" s="82"/>
      <c r="G69" s="83">
        <f t="shared" si="34"/>
        <v>-44</v>
      </c>
      <c r="H69" s="79">
        <f>IFERROR(G69/ABS(E69), "-")</f>
        <v>-1</v>
      </c>
      <c r="I69" s="231"/>
      <c r="J69" s="82">
        <v>41</v>
      </c>
      <c r="K69" s="82"/>
      <c r="L69" s="83">
        <f t="shared" si="49"/>
        <v>-41</v>
      </c>
      <c r="M69" s="79">
        <f t="shared" si="37"/>
        <v>-1</v>
      </c>
      <c r="N69" s="231"/>
      <c r="O69" s="82">
        <v>47</v>
      </c>
      <c r="P69" s="82"/>
      <c r="Q69" s="83">
        <f t="shared" si="50"/>
        <v>-47</v>
      </c>
      <c r="R69" s="79">
        <f t="shared" si="40"/>
        <v>-1</v>
      </c>
      <c r="S69" s="231"/>
      <c r="T69" s="82">
        <v>47</v>
      </c>
      <c r="U69" s="82"/>
      <c r="V69" s="83">
        <f t="shared" si="51"/>
        <v>-47</v>
      </c>
      <c r="W69" s="79">
        <f t="shared" si="43"/>
        <v>-1</v>
      </c>
      <c r="X69" s="231"/>
    </row>
    <row r="70" spans="1:24" ht="18" customHeight="1" x14ac:dyDescent="0.2">
      <c r="A70" s="245" t="s">
        <v>193</v>
      </c>
      <c r="B70" s="68" t="s">
        <v>466</v>
      </c>
      <c r="C70" s="250">
        <v>35</v>
      </c>
      <c r="D70" s="250">
        <v>38</v>
      </c>
      <c r="E70" s="82">
        <v>40</v>
      </c>
      <c r="F70" s="82"/>
      <c r="G70" s="83">
        <f t="shared" si="34"/>
        <v>-40</v>
      </c>
      <c r="H70" s="79">
        <f>IFERROR(G70/ABS(E70), "-")</f>
        <v>-1</v>
      </c>
      <c r="I70" s="231"/>
      <c r="J70" s="82">
        <v>40</v>
      </c>
      <c r="K70" s="82"/>
      <c r="L70" s="83">
        <f t="shared" si="49"/>
        <v>-40</v>
      </c>
      <c r="M70" s="79">
        <f t="shared" si="37"/>
        <v>-1</v>
      </c>
      <c r="N70" s="231"/>
      <c r="O70" s="82">
        <v>39</v>
      </c>
      <c r="P70" s="82"/>
      <c r="Q70" s="83">
        <f t="shared" si="50"/>
        <v>-39</v>
      </c>
      <c r="R70" s="79">
        <f t="shared" si="40"/>
        <v>-1</v>
      </c>
      <c r="S70" s="231"/>
      <c r="T70" s="82">
        <v>38</v>
      </c>
      <c r="U70" s="82"/>
      <c r="V70" s="83">
        <f t="shared" si="51"/>
        <v>-38</v>
      </c>
      <c r="W70" s="79">
        <f t="shared" si="43"/>
        <v>-1</v>
      </c>
      <c r="X70" s="231"/>
    </row>
    <row r="71" spans="1:24" ht="18" customHeight="1" x14ac:dyDescent="0.2">
      <c r="A71" s="245" t="s">
        <v>192</v>
      </c>
      <c r="B71" s="68" t="s">
        <v>467</v>
      </c>
      <c r="C71" s="250">
        <v>210</v>
      </c>
      <c r="D71" s="250">
        <v>211</v>
      </c>
      <c r="E71" s="82">
        <v>224</v>
      </c>
      <c r="F71" s="82"/>
      <c r="G71" s="83">
        <f t="shared" si="34"/>
        <v>-224</v>
      </c>
      <c r="H71" s="79">
        <f t="shared" si="44"/>
        <v>-1</v>
      </c>
      <c r="I71" s="231"/>
      <c r="J71" s="82">
        <v>226</v>
      </c>
      <c r="K71" s="82"/>
      <c r="L71" s="83">
        <f t="shared" si="49"/>
        <v>-226</v>
      </c>
      <c r="M71" s="79">
        <f t="shared" si="37"/>
        <v>-1</v>
      </c>
      <c r="N71" s="231"/>
      <c r="O71" s="82">
        <v>209</v>
      </c>
      <c r="P71" s="82"/>
      <c r="Q71" s="83">
        <f t="shared" si="50"/>
        <v>-209</v>
      </c>
      <c r="R71" s="79">
        <f t="shared" si="40"/>
        <v>-1</v>
      </c>
      <c r="S71" s="231"/>
      <c r="T71" s="82">
        <v>211</v>
      </c>
      <c r="U71" s="82"/>
      <c r="V71" s="83">
        <f t="shared" si="51"/>
        <v>-211</v>
      </c>
      <c r="W71" s="79">
        <f t="shared" si="43"/>
        <v>-1</v>
      </c>
      <c r="X71" s="231"/>
    </row>
    <row r="72" spans="1:24" ht="18" customHeight="1" x14ac:dyDescent="0.2">
      <c r="A72" s="257" t="s">
        <v>191</v>
      </c>
      <c r="B72" s="130" t="s">
        <v>468</v>
      </c>
      <c r="C72" s="120">
        <v>1658.66</v>
      </c>
      <c r="D72" s="120">
        <v>1745.2</v>
      </c>
      <c r="E72" s="120">
        <f t="shared" ref="E72" si="56">IFERROR((E73*E67+E74*E68+E75*E69+E76*E70+E77*E71)/E66, "-")</f>
        <v>1613.6799336650083</v>
      </c>
      <c r="F72" s="120"/>
      <c r="G72" s="123"/>
      <c r="H72" s="124">
        <f t="shared" si="44"/>
        <v>0</v>
      </c>
      <c r="I72" s="265"/>
      <c r="J72" s="120">
        <v>1750.4002657807309</v>
      </c>
      <c r="K72" s="120" t="str">
        <f t="shared" ref="K72" si="57">IFERROR((K73*K67+K74*K68+K75*K69+K76*K70+K77*K71)/K66, "-")</f>
        <v>-</v>
      </c>
      <c r="L72" s="123"/>
      <c r="M72" s="124">
        <f t="shared" si="37"/>
        <v>0</v>
      </c>
      <c r="N72" s="265"/>
      <c r="O72" s="120">
        <v>1702</v>
      </c>
      <c r="P72" s="120" t="str">
        <f t="shared" ref="P72" si="58">IFERROR((P73*P67+P74*P68+P75*P69+P76*P70+P77*P71)/P66, "-")</f>
        <v>-</v>
      </c>
      <c r="Q72" s="123"/>
      <c r="R72" s="124">
        <f t="shared" si="40"/>
        <v>0</v>
      </c>
      <c r="S72" s="265"/>
      <c r="T72" s="120">
        <v>1745.2</v>
      </c>
      <c r="U72" s="120" t="str">
        <f t="shared" ref="U72" si="59">IFERROR((U73*U67+U74*U68+U75*U69+U76*U70+U77*U71)/U66, "-")</f>
        <v>-</v>
      </c>
      <c r="V72" s="123"/>
      <c r="W72" s="124">
        <f t="shared" si="43"/>
        <v>0</v>
      </c>
      <c r="X72" s="265"/>
    </row>
    <row r="73" spans="1:24" ht="18" customHeight="1" x14ac:dyDescent="0.2">
      <c r="A73" s="245" t="s">
        <v>190</v>
      </c>
      <c r="B73" s="266" t="s">
        <v>463</v>
      </c>
      <c r="C73" s="82">
        <v>2868.03</v>
      </c>
      <c r="D73" s="82">
        <v>2753</v>
      </c>
      <c r="E73" s="248">
        <v>2584</v>
      </c>
      <c r="F73" s="248"/>
      <c r="G73" s="249">
        <f t="shared" si="34"/>
        <v>-2584</v>
      </c>
      <c r="H73" s="79">
        <f t="shared" si="44"/>
        <v>-1</v>
      </c>
      <c r="I73" s="231"/>
      <c r="J73" s="248">
        <v>2797.63</v>
      </c>
      <c r="K73" s="248"/>
      <c r="L73" s="249">
        <f t="shared" si="49"/>
        <v>-2797.63</v>
      </c>
      <c r="M73" s="79">
        <f t="shared" si="37"/>
        <v>-1</v>
      </c>
      <c r="N73" s="231"/>
      <c r="O73" s="248">
        <v>2670</v>
      </c>
      <c r="P73" s="248"/>
      <c r="Q73" s="249">
        <f t="shared" si="50"/>
        <v>-2670</v>
      </c>
      <c r="R73" s="79">
        <f t="shared" si="40"/>
        <v>-1</v>
      </c>
      <c r="S73" s="231"/>
      <c r="T73" s="248">
        <v>2753</v>
      </c>
      <c r="U73" s="248"/>
      <c r="V73" s="249">
        <f t="shared" si="51"/>
        <v>-2753</v>
      </c>
      <c r="W73" s="79">
        <f t="shared" si="43"/>
        <v>-1</v>
      </c>
      <c r="X73" s="231"/>
    </row>
    <row r="74" spans="1:24" ht="18" customHeight="1" x14ac:dyDescent="0.2">
      <c r="A74" s="245" t="s">
        <v>189</v>
      </c>
      <c r="B74" s="266" t="s">
        <v>464</v>
      </c>
      <c r="C74" s="82">
        <v>1794.2</v>
      </c>
      <c r="D74" s="82">
        <v>1773</v>
      </c>
      <c r="E74" s="82">
        <v>1797</v>
      </c>
      <c r="F74" s="82"/>
      <c r="G74" s="83">
        <f t="shared" si="34"/>
        <v>-1797</v>
      </c>
      <c r="H74" s="79">
        <f t="shared" si="44"/>
        <v>-1</v>
      </c>
      <c r="I74" s="231"/>
      <c r="J74" s="82">
        <v>1910.33</v>
      </c>
      <c r="K74" s="82"/>
      <c r="L74" s="83">
        <f t="shared" si="49"/>
        <v>-1910.33</v>
      </c>
      <c r="M74" s="79">
        <f t="shared" si="37"/>
        <v>-1</v>
      </c>
      <c r="N74" s="231"/>
      <c r="O74" s="82">
        <v>1733</v>
      </c>
      <c r="P74" s="82"/>
      <c r="Q74" s="83">
        <f t="shared" si="50"/>
        <v>-1733</v>
      </c>
      <c r="R74" s="79">
        <f t="shared" si="40"/>
        <v>-1</v>
      </c>
      <c r="S74" s="231"/>
      <c r="T74" s="82">
        <v>1773</v>
      </c>
      <c r="U74" s="82"/>
      <c r="V74" s="83">
        <f t="shared" si="51"/>
        <v>-1773</v>
      </c>
      <c r="W74" s="79">
        <f t="shared" si="43"/>
        <v>-1</v>
      </c>
      <c r="X74" s="231"/>
    </row>
    <row r="75" spans="1:24" ht="18" customHeight="1" x14ac:dyDescent="0.2">
      <c r="A75" s="245" t="s">
        <v>188</v>
      </c>
      <c r="B75" s="68" t="s">
        <v>465</v>
      </c>
      <c r="C75" s="250">
        <v>1007.45</v>
      </c>
      <c r="D75" s="250">
        <v>965</v>
      </c>
      <c r="E75" s="82">
        <v>969</v>
      </c>
      <c r="F75" s="82"/>
      <c r="G75" s="83">
        <f t="shared" si="34"/>
        <v>-969</v>
      </c>
      <c r="H75" s="79">
        <f t="shared" si="44"/>
        <v>-1</v>
      </c>
      <c r="I75" s="231"/>
      <c r="J75" s="82">
        <v>1121.57</v>
      </c>
      <c r="K75" s="82"/>
      <c r="L75" s="83">
        <f t="shared" si="49"/>
        <v>-1121.57</v>
      </c>
      <c r="M75" s="79">
        <f t="shared" si="37"/>
        <v>-1</v>
      </c>
      <c r="N75" s="231"/>
      <c r="O75" s="82">
        <v>947</v>
      </c>
      <c r="P75" s="82"/>
      <c r="Q75" s="83">
        <f t="shared" si="50"/>
        <v>-947</v>
      </c>
      <c r="R75" s="79">
        <f t="shared" si="40"/>
        <v>-1</v>
      </c>
      <c r="S75" s="231"/>
      <c r="T75" s="82">
        <v>965</v>
      </c>
      <c r="U75" s="82"/>
      <c r="V75" s="83">
        <f t="shared" si="51"/>
        <v>-965</v>
      </c>
      <c r="W75" s="79">
        <f t="shared" si="43"/>
        <v>-1</v>
      </c>
      <c r="X75" s="231"/>
    </row>
    <row r="76" spans="1:24" ht="18" customHeight="1" x14ac:dyDescent="0.2">
      <c r="A76" s="245" t="s">
        <v>187</v>
      </c>
      <c r="B76" s="68" t="s">
        <v>466</v>
      </c>
      <c r="C76" s="250">
        <v>2205.6799999999998</v>
      </c>
      <c r="D76" s="250">
        <v>2206</v>
      </c>
      <c r="E76" s="82">
        <v>2130</v>
      </c>
      <c r="F76" s="82"/>
      <c r="G76" s="83">
        <f t="shared" si="34"/>
        <v>-2130</v>
      </c>
      <c r="H76" s="79">
        <f t="shared" si="44"/>
        <v>-1</v>
      </c>
      <c r="I76" s="231"/>
      <c r="J76" s="82">
        <v>2234</v>
      </c>
      <c r="K76" s="82"/>
      <c r="L76" s="83">
        <f t="shared" si="49"/>
        <v>-2234</v>
      </c>
      <c r="M76" s="79">
        <f t="shared" si="37"/>
        <v>-1</v>
      </c>
      <c r="N76" s="231"/>
      <c r="O76" s="82">
        <v>2153</v>
      </c>
      <c r="P76" s="82"/>
      <c r="Q76" s="83">
        <f t="shared" si="50"/>
        <v>-2153</v>
      </c>
      <c r="R76" s="79">
        <f t="shared" si="40"/>
        <v>-1</v>
      </c>
      <c r="S76" s="231"/>
      <c r="T76" s="82">
        <v>2206</v>
      </c>
      <c r="U76" s="82"/>
      <c r="V76" s="83">
        <f t="shared" si="51"/>
        <v>-2206</v>
      </c>
      <c r="W76" s="79">
        <f t="shared" si="43"/>
        <v>-1</v>
      </c>
      <c r="X76" s="231"/>
    </row>
    <row r="77" spans="1:24" ht="18" customHeight="1" x14ac:dyDescent="0.2">
      <c r="A77" s="245" t="s">
        <v>186</v>
      </c>
      <c r="B77" s="68" t="s">
        <v>467</v>
      </c>
      <c r="C77" s="250">
        <v>985.56</v>
      </c>
      <c r="D77" s="250">
        <v>1029</v>
      </c>
      <c r="E77" s="82">
        <v>964</v>
      </c>
      <c r="F77" s="82"/>
      <c r="G77" s="83">
        <f t="shared" si="34"/>
        <v>-964</v>
      </c>
      <c r="H77" s="79">
        <f t="shared" si="44"/>
        <v>-1</v>
      </c>
      <c r="I77" s="231"/>
      <c r="J77" s="82">
        <v>1075.44</v>
      </c>
      <c r="K77" s="82"/>
      <c r="L77" s="83">
        <f t="shared" si="49"/>
        <v>-1075.44</v>
      </c>
      <c r="M77" s="79">
        <f t="shared" si="37"/>
        <v>-1</v>
      </c>
      <c r="N77" s="231"/>
      <c r="O77" s="82">
        <v>1007</v>
      </c>
      <c r="P77" s="82"/>
      <c r="Q77" s="83">
        <f t="shared" si="50"/>
        <v>-1007</v>
      </c>
      <c r="R77" s="79">
        <f t="shared" si="40"/>
        <v>-1</v>
      </c>
      <c r="S77" s="231"/>
      <c r="T77" s="82">
        <v>1029</v>
      </c>
      <c r="U77" s="82"/>
      <c r="V77" s="83">
        <f t="shared" si="51"/>
        <v>-1029</v>
      </c>
      <c r="W77" s="79">
        <f t="shared" si="43"/>
        <v>-1</v>
      </c>
      <c r="X77" s="231"/>
    </row>
    <row r="78" spans="1:24" ht="18" customHeight="1" x14ac:dyDescent="0.2">
      <c r="A78" s="257" t="s">
        <v>384</v>
      </c>
      <c r="B78" s="125" t="s">
        <v>385</v>
      </c>
      <c r="C78" s="268" t="s">
        <v>183</v>
      </c>
      <c r="D78" s="268" t="s">
        <v>183</v>
      </c>
      <c r="E78" s="243"/>
      <c r="F78" s="227" t="s">
        <v>183</v>
      </c>
      <c r="G78" s="227" t="s">
        <v>183</v>
      </c>
      <c r="H78" s="244" t="s">
        <v>183</v>
      </c>
      <c r="I78" s="244" t="s">
        <v>183</v>
      </c>
      <c r="J78" s="243" t="s">
        <v>183</v>
      </c>
      <c r="K78" s="227" t="s">
        <v>183</v>
      </c>
      <c r="L78" s="227" t="s">
        <v>183</v>
      </c>
      <c r="M78" s="244" t="s">
        <v>183</v>
      </c>
      <c r="N78" s="244" t="s">
        <v>183</v>
      </c>
      <c r="O78" s="243"/>
      <c r="P78" s="227" t="s">
        <v>183</v>
      </c>
      <c r="Q78" s="227" t="s">
        <v>183</v>
      </c>
      <c r="R78" s="244" t="s">
        <v>183</v>
      </c>
      <c r="S78" s="244" t="s">
        <v>183</v>
      </c>
      <c r="T78" s="243"/>
      <c r="U78" s="227" t="s">
        <v>183</v>
      </c>
      <c r="V78" s="227" t="s">
        <v>183</v>
      </c>
      <c r="W78" s="244" t="s">
        <v>183</v>
      </c>
      <c r="X78" s="244" t="s">
        <v>183</v>
      </c>
    </row>
    <row r="79" spans="1:24" ht="18" customHeight="1" x14ac:dyDescent="0.2">
      <c r="A79" s="245" t="s">
        <v>386</v>
      </c>
      <c r="B79" s="68" t="s">
        <v>387</v>
      </c>
      <c r="C79" s="269">
        <v>15</v>
      </c>
      <c r="D79" s="269">
        <v>13</v>
      </c>
      <c r="E79" s="82">
        <v>3</v>
      </c>
      <c r="F79" s="82"/>
      <c r="G79" s="83">
        <f t="shared" ref="G79:G82" si="60">F79-E79</f>
        <v>-3</v>
      </c>
      <c r="H79" s="263">
        <f t="shared" ref="H79:H82" si="61">IFERROR(G79/ABS(E79), "-")</f>
        <v>-1</v>
      </c>
      <c r="I79" s="231"/>
      <c r="J79" s="270">
        <v>7</v>
      </c>
      <c r="K79" s="82"/>
      <c r="L79" s="83">
        <f t="shared" ref="L79:L82" si="62">K79-J79</f>
        <v>-7</v>
      </c>
      <c r="M79" s="263">
        <f t="shared" ref="M79:M82" si="63">IFERROR(L79/ABS(J79), "-")</f>
        <v>-1</v>
      </c>
      <c r="N79" s="231"/>
      <c r="O79" s="270">
        <v>12</v>
      </c>
      <c r="P79" s="82"/>
      <c r="Q79" s="83">
        <f t="shared" ref="Q79:Q82" si="64">P79-O79</f>
        <v>-12</v>
      </c>
      <c r="R79" s="263">
        <f t="shared" ref="R79:R82" si="65">IFERROR(Q79/ABS(O79), "-")</f>
        <v>-1</v>
      </c>
      <c r="S79" s="231"/>
      <c r="T79" s="270">
        <v>13</v>
      </c>
      <c r="U79" s="82"/>
      <c r="V79" s="83">
        <f t="shared" ref="V79:V82" si="66">U79-T79</f>
        <v>-13</v>
      </c>
      <c r="W79" s="263">
        <f t="shared" ref="W79:W82" si="67">IFERROR(V79/ABS(T79), "-")</f>
        <v>-1</v>
      </c>
      <c r="X79" s="231"/>
    </row>
    <row r="80" spans="1:24" ht="50.1" customHeight="1" x14ac:dyDescent="0.2">
      <c r="A80" s="245" t="s">
        <v>388</v>
      </c>
      <c r="B80" s="68" t="s">
        <v>389</v>
      </c>
      <c r="C80" s="269">
        <v>32</v>
      </c>
      <c r="D80" s="269">
        <v>29</v>
      </c>
      <c r="E80" s="82">
        <v>30.99</v>
      </c>
      <c r="F80" s="82"/>
      <c r="G80" s="83">
        <f t="shared" si="60"/>
        <v>-30.99</v>
      </c>
      <c r="H80" s="263">
        <f t="shared" si="61"/>
        <v>-1</v>
      </c>
      <c r="I80" s="231"/>
      <c r="J80" s="270">
        <v>30</v>
      </c>
      <c r="K80" s="82"/>
      <c r="L80" s="83">
        <f t="shared" si="62"/>
        <v>-30</v>
      </c>
      <c r="M80" s="263">
        <f t="shared" si="63"/>
        <v>-1</v>
      </c>
      <c r="N80" s="231"/>
      <c r="O80" s="270">
        <v>31</v>
      </c>
      <c r="P80" s="82"/>
      <c r="Q80" s="83">
        <f t="shared" si="64"/>
        <v>-31</v>
      </c>
      <c r="R80" s="263">
        <f t="shared" si="65"/>
        <v>-1</v>
      </c>
      <c r="S80" s="231"/>
      <c r="T80" s="270">
        <v>29</v>
      </c>
      <c r="U80" s="82"/>
      <c r="V80" s="83">
        <f t="shared" si="66"/>
        <v>-29</v>
      </c>
      <c r="W80" s="263">
        <f t="shared" si="67"/>
        <v>-1</v>
      </c>
      <c r="X80" s="231"/>
    </row>
    <row r="81" spans="1:24" ht="36" customHeight="1" x14ac:dyDescent="0.2">
      <c r="A81" s="245" t="s">
        <v>390</v>
      </c>
      <c r="B81" s="68" t="s">
        <v>400</v>
      </c>
      <c r="C81" s="269">
        <v>23</v>
      </c>
      <c r="D81" s="269">
        <v>22</v>
      </c>
      <c r="E81" s="82">
        <v>23</v>
      </c>
      <c r="F81" s="82"/>
      <c r="G81" s="83">
        <f t="shared" si="60"/>
        <v>-23</v>
      </c>
      <c r="H81" s="263">
        <f t="shared" si="61"/>
        <v>-1</v>
      </c>
      <c r="I81" s="231"/>
      <c r="J81" s="270">
        <v>23</v>
      </c>
      <c r="K81" s="82"/>
      <c r="L81" s="83">
        <f t="shared" si="62"/>
        <v>-23</v>
      </c>
      <c r="M81" s="263">
        <f t="shared" si="63"/>
        <v>-1</v>
      </c>
      <c r="N81" s="231"/>
      <c r="O81" s="270">
        <v>22</v>
      </c>
      <c r="P81" s="82"/>
      <c r="Q81" s="83">
        <f t="shared" si="64"/>
        <v>-22</v>
      </c>
      <c r="R81" s="263">
        <f t="shared" si="65"/>
        <v>-1</v>
      </c>
      <c r="S81" s="231"/>
      <c r="T81" s="270">
        <v>22</v>
      </c>
      <c r="U81" s="82"/>
      <c r="V81" s="83">
        <f t="shared" si="66"/>
        <v>-22</v>
      </c>
      <c r="W81" s="263">
        <f t="shared" si="67"/>
        <v>-1</v>
      </c>
      <c r="X81" s="231"/>
    </row>
    <row r="82" spans="1:24" ht="34.5" customHeight="1" x14ac:dyDescent="0.2">
      <c r="A82" s="245" t="s">
        <v>391</v>
      </c>
      <c r="B82" s="68" t="s">
        <v>392</v>
      </c>
      <c r="C82" s="269">
        <v>40</v>
      </c>
      <c r="D82" s="269">
        <v>40</v>
      </c>
      <c r="E82" s="82">
        <v>40</v>
      </c>
      <c r="F82" s="82"/>
      <c r="G82" s="83">
        <f t="shared" si="60"/>
        <v>-40</v>
      </c>
      <c r="H82" s="263">
        <f t="shared" si="61"/>
        <v>-1</v>
      </c>
      <c r="I82" s="231"/>
      <c r="J82" s="270">
        <v>41</v>
      </c>
      <c r="K82" s="82"/>
      <c r="L82" s="83">
        <f t="shared" si="62"/>
        <v>-41</v>
      </c>
      <c r="M82" s="263">
        <f t="shared" si="63"/>
        <v>-1</v>
      </c>
      <c r="N82" s="231"/>
      <c r="O82" s="270">
        <v>40</v>
      </c>
      <c r="P82" s="82"/>
      <c r="Q82" s="83">
        <f t="shared" si="64"/>
        <v>-40</v>
      </c>
      <c r="R82" s="263">
        <f t="shared" si="65"/>
        <v>-1</v>
      </c>
      <c r="S82" s="231"/>
      <c r="T82" s="270">
        <v>40</v>
      </c>
      <c r="U82" s="82"/>
      <c r="V82" s="83">
        <f t="shared" si="66"/>
        <v>-40</v>
      </c>
      <c r="W82" s="263">
        <f t="shared" si="67"/>
        <v>-1</v>
      </c>
      <c r="X82" s="231"/>
    </row>
    <row r="83" spans="1:24" ht="18" customHeight="1" x14ac:dyDescent="0.2">
      <c r="A83" s="324" t="s">
        <v>185</v>
      </c>
      <c r="B83" s="325" t="s">
        <v>393</v>
      </c>
      <c r="C83" s="326" t="s">
        <v>183</v>
      </c>
      <c r="D83" s="326" t="s">
        <v>183</v>
      </c>
      <c r="E83" s="319" t="s">
        <v>183</v>
      </c>
      <c r="F83" s="320" t="s">
        <v>183</v>
      </c>
      <c r="G83" s="320" t="s">
        <v>183</v>
      </c>
      <c r="H83" s="321" t="s">
        <v>183</v>
      </c>
      <c r="I83" s="321" t="s">
        <v>183</v>
      </c>
      <c r="J83" s="319" t="s">
        <v>183</v>
      </c>
      <c r="K83" s="320" t="s">
        <v>183</v>
      </c>
      <c r="L83" s="320" t="s">
        <v>183</v>
      </c>
      <c r="M83" s="321" t="s">
        <v>183</v>
      </c>
      <c r="N83" s="321" t="s">
        <v>183</v>
      </c>
      <c r="O83" s="319" t="s">
        <v>183</v>
      </c>
      <c r="P83" s="320" t="s">
        <v>183</v>
      </c>
      <c r="Q83" s="320" t="s">
        <v>183</v>
      </c>
      <c r="R83" s="321" t="s">
        <v>183</v>
      </c>
      <c r="S83" s="321" t="s">
        <v>183</v>
      </c>
      <c r="T83" s="319" t="s">
        <v>183</v>
      </c>
      <c r="U83" s="320" t="s">
        <v>183</v>
      </c>
      <c r="V83" s="320" t="s">
        <v>183</v>
      </c>
      <c r="W83" s="321" t="s">
        <v>183</v>
      </c>
      <c r="X83" s="321" t="s">
        <v>183</v>
      </c>
    </row>
    <row r="84" spans="1:24" ht="18" customHeight="1" x14ac:dyDescent="0.2">
      <c r="A84" s="251" t="s">
        <v>184</v>
      </c>
      <c r="B84" s="16" t="s">
        <v>469</v>
      </c>
      <c r="C84" s="215">
        <v>26842</v>
      </c>
      <c r="D84" s="215">
        <v>27434</v>
      </c>
      <c r="E84" s="215">
        <v>27434</v>
      </c>
      <c r="F84" s="215"/>
      <c r="G84" s="104">
        <f t="shared" ref="G84:G89" si="68">F84-E84</f>
        <v>-27434</v>
      </c>
      <c r="H84" s="94">
        <f t="shared" ref="H84:H89" si="69">IFERROR(G84/ABS(E84), "-")</f>
        <v>-1</v>
      </c>
      <c r="I84" s="215"/>
      <c r="J84" s="215">
        <v>27434</v>
      </c>
      <c r="K84" s="215"/>
      <c r="L84" s="104">
        <f t="shared" ref="L84:L85" si="70">K84-J84</f>
        <v>-27434</v>
      </c>
      <c r="M84" s="94">
        <f t="shared" ref="M84:M89" si="71">IFERROR(L84/ABS(J84), "-")</f>
        <v>-1</v>
      </c>
      <c r="N84" s="215"/>
      <c r="O84" s="215">
        <v>27434</v>
      </c>
      <c r="P84" s="215"/>
      <c r="Q84" s="104">
        <f t="shared" ref="Q84:Q89" si="72">P84-O84</f>
        <v>-27434</v>
      </c>
      <c r="R84" s="94">
        <f t="shared" ref="R84:R89" si="73">IFERROR(Q84/ABS(O84), "-")</f>
        <v>-1</v>
      </c>
      <c r="S84" s="215"/>
      <c r="T84" s="215">
        <v>27433.599999999999</v>
      </c>
      <c r="U84" s="103"/>
      <c r="V84" s="104">
        <f t="shared" ref="V84:V89" si="74">U84-T84</f>
        <v>-27433.599999999999</v>
      </c>
      <c r="W84" s="94">
        <f t="shared" ref="W84:W89" si="75">IFERROR(V84/ABS(T84), "-")</f>
        <v>-1</v>
      </c>
      <c r="X84" s="252"/>
    </row>
    <row r="85" spans="1:24" ht="18" customHeight="1" x14ac:dyDescent="0.2">
      <c r="A85" s="251" t="s">
        <v>402</v>
      </c>
      <c r="B85" s="271" t="s">
        <v>301</v>
      </c>
      <c r="C85" s="215">
        <v>7361</v>
      </c>
      <c r="D85" s="215">
        <v>8230</v>
      </c>
      <c r="E85" s="103">
        <v>8230</v>
      </c>
      <c r="F85" s="103"/>
      <c r="G85" s="104">
        <f t="shared" si="68"/>
        <v>-8230</v>
      </c>
      <c r="H85" s="94">
        <f t="shared" si="69"/>
        <v>-1</v>
      </c>
      <c r="I85" s="252"/>
      <c r="J85" s="215">
        <v>8230</v>
      </c>
      <c r="K85" s="103"/>
      <c r="L85" s="104">
        <f t="shared" si="70"/>
        <v>-8230</v>
      </c>
      <c r="M85" s="94">
        <f t="shared" si="71"/>
        <v>-1</v>
      </c>
      <c r="N85" s="252"/>
      <c r="O85" s="215">
        <v>8230</v>
      </c>
      <c r="P85" s="103"/>
      <c r="Q85" s="104">
        <f t="shared" si="72"/>
        <v>-8230</v>
      </c>
      <c r="R85" s="94">
        <f t="shared" si="73"/>
        <v>-1</v>
      </c>
      <c r="S85" s="252"/>
      <c r="T85" s="103">
        <v>8230.2000000000007</v>
      </c>
      <c r="U85" s="103"/>
      <c r="V85" s="104">
        <f t="shared" si="74"/>
        <v>-8230.2000000000007</v>
      </c>
      <c r="W85" s="94">
        <f t="shared" si="75"/>
        <v>-1</v>
      </c>
      <c r="X85" s="252"/>
    </row>
    <row r="86" spans="1:24" ht="18" customHeight="1" x14ac:dyDescent="0.2">
      <c r="A86" s="251" t="s">
        <v>401</v>
      </c>
      <c r="B86" s="44" t="s">
        <v>180</v>
      </c>
      <c r="C86" s="215">
        <v>3689770</v>
      </c>
      <c r="D86" s="215">
        <v>3428820</v>
      </c>
      <c r="E86" s="19">
        <v>1303100</v>
      </c>
      <c r="F86" s="19"/>
      <c r="G86" s="104">
        <f t="shared" si="68"/>
        <v>-1303100</v>
      </c>
      <c r="H86" s="94">
        <f t="shared" si="69"/>
        <v>-1</v>
      </c>
      <c r="I86" s="451"/>
      <c r="J86" s="19">
        <v>1816400</v>
      </c>
      <c r="K86" s="19"/>
      <c r="L86" s="104">
        <f>K86-J86</f>
        <v>-1816400</v>
      </c>
      <c r="M86" s="94">
        <f t="shared" si="71"/>
        <v>-1</v>
      </c>
      <c r="N86" s="252"/>
      <c r="O86" s="19">
        <v>2243020</v>
      </c>
      <c r="P86" s="19"/>
      <c r="Q86" s="104">
        <f t="shared" si="72"/>
        <v>-2243020</v>
      </c>
      <c r="R86" s="94">
        <f t="shared" si="73"/>
        <v>-1</v>
      </c>
      <c r="S86" s="252"/>
      <c r="T86" s="19">
        <v>3428820</v>
      </c>
      <c r="U86" s="19"/>
      <c r="V86" s="104">
        <f t="shared" si="74"/>
        <v>-3428820</v>
      </c>
      <c r="W86" s="94">
        <f t="shared" si="75"/>
        <v>-1</v>
      </c>
      <c r="X86" s="252"/>
    </row>
    <row r="87" spans="1:24" x14ac:dyDescent="0.2">
      <c r="A87" s="251" t="s">
        <v>403</v>
      </c>
      <c r="B87" s="44" t="s">
        <v>179</v>
      </c>
      <c r="C87" s="215">
        <v>1723469.38</v>
      </c>
      <c r="D87" s="215">
        <v>1645073.38</v>
      </c>
      <c r="E87" s="19">
        <v>403418</v>
      </c>
      <c r="F87" s="19"/>
      <c r="G87" s="104">
        <f>F87-E87</f>
        <v>-403418</v>
      </c>
      <c r="H87" s="94">
        <f>IFERROR(G87/ABS(E87), "-")</f>
        <v>-1</v>
      </c>
      <c r="I87" s="451"/>
      <c r="J87" s="19">
        <v>769225</v>
      </c>
      <c r="K87" s="19"/>
      <c r="L87" s="104">
        <f t="shared" ref="L87:L89" si="76">K87-J87</f>
        <v>-769225</v>
      </c>
      <c r="M87" s="94">
        <f t="shared" si="71"/>
        <v>-1</v>
      </c>
      <c r="N87" s="252"/>
      <c r="O87" s="19">
        <v>1249461.78</v>
      </c>
      <c r="P87" s="19"/>
      <c r="Q87" s="104">
        <f>P87-O87</f>
        <v>-1249461.78</v>
      </c>
      <c r="R87" s="94">
        <f>IFERROR(Q87/ABS(O87), "-")</f>
        <v>-1</v>
      </c>
      <c r="S87" s="252"/>
      <c r="T87" s="215">
        <v>1645073.38</v>
      </c>
      <c r="U87" s="19"/>
      <c r="V87" s="104">
        <f t="shared" si="74"/>
        <v>-1645073.38</v>
      </c>
      <c r="W87" s="94">
        <f t="shared" si="75"/>
        <v>-1</v>
      </c>
      <c r="X87" s="252"/>
    </row>
    <row r="88" spans="1:24" ht="18" customHeight="1" x14ac:dyDescent="0.2">
      <c r="A88" s="251" t="s">
        <v>182</v>
      </c>
      <c r="B88" s="44" t="s">
        <v>470</v>
      </c>
      <c r="C88" s="215">
        <v>16186</v>
      </c>
      <c r="D88" s="215">
        <v>16765</v>
      </c>
      <c r="E88" s="19">
        <v>4340</v>
      </c>
      <c r="F88" s="19"/>
      <c r="G88" s="104">
        <f t="shared" si="68"/>
        <v>-4340</v>
      </c>
      <c r="H88" s="94">
        <f t="shared" si="69"/>
        <v>-1</v>
      </c>
      <c r="I88" s="252"/>
      <c r="J88" s="19">
        <v>8748</v>
      </c>
      <c r="K88" s="19"/>
      <c r="L88" s="104">
        <f t="shared" si="76"/>
        <v>-8748</v>
      </c>
      <c r="M88" s="94">
        <f t="shared" si="71"/>
        <v>-1</v>
      </c>
      <c r="N88" s="252"/>
      <c r="O88" s="19">
        <v>12811</v>
      </c>
      <c r="P88" s="19"/>
      <c r="Q88" s="104">
        <f t="shared" si="72"/>
        <v>-12811</v>
      </c>
      <c r="R88" s="94">
        <f t="shared" si="73"/>
        <v>-1</v>
      </c>
      <c r="S88" s="252"/>
      <c r="T88" s="19">
        <v>16765</v>
      </c>
      <c r="U88" s="19"/>
      <c r="V88" s="104">
        <f t="shared" si="74"/>
        <v>-16765</v>
      </c>
      <c r="W88" s="94">
        <f t="shared" si="75"/>
        <v>-1</v>
      </c>
      <c r="X88" s="252"/>
    </row>
    <row r="89" spans="1:24" ht="24.75" customHeight="1" x14ac:dyDescent="0.2">
      <c r="A89" s="251" t="s">
        <v>181</v>
      </c>
      <c r="B89" s="44" t="s">
        <v>471</v>
      </c>
      <c r="C89" s="215">
        <v>16278</v>
      </c>
      <c r="D89" s="215">
        <v>18059.03</v>
      </c>
      <c r="E89" s="19">
        <v>4666</v>
      </c>
      <c r="F89" s="19"/>
      <c r="G89" s="104">
        <f t="shared" si="68"/>
        <v>-4666</v>
      </c>
      <c r="H89" s="94">
        <f t="shared" si="69"/>
        <v>-1</v>
      </c>
      <c r="I89" s="252"/>
      <c r="J89" s="19">
        <v>9400</v>
      </c>
      <c r="K89" s="19"/>
      <c r="L89" s="104">
        <f t="shared" si="76"/>
        <v>-9400</v>
      </c>
      <c r="M89" s="94">
        <f t="shared" si="71"/>
        <v>-1</v>
      </c>
      <c r="N89" s="252"/>
      <c r="O89" s="19">
        <v>13779.02</v>
      </c>
      <c r="P89" s="19"/>
      <c r="Q89" s="104">
        <f t="shared" si="72"/>
        <v>-13779.02</v>
      </c>
      <c r="R89" s="94">
        <f t="shared" si="73"/>
        <v>-1</v>
      </c>
      <c r="S89" s="252"/>
      <c r="T89" s="19">
        <v>18059.03</v>
      </c>
      <c r="U89" s="248"/>
      <c r="V89" s="83">
        <f t="shared" si="74"/>
        <v>-18059.03</v>
      </c>
      <c r="W89" s="79">
        <f t="shared" si="75"/>
        <v>-1</v>
      </c>
      <c r="X89" s="231"/>
    </row>
    <row r="90" spans="1:24" ht="18" customHeight="1" x14ac:dyDescent="0.2">
      <c r="A90" s="324" t="s">
        <v>394</v>
      </c>
      <c r="B90" s="331" t="s">
        <v>395</v>
      </c>
      <c r="C90" s="315" t="s">
        <v>183</v>
      </c>
      <c r="D90" s="315" t="s">
        <v>183</v>
      </c>
      <c r="E90" s="332" t="s">
        <v>183</v>
      </c>
      <c r="F90" s="332" t="s">
        <v>183</v>
      </c>
      <c r="G90" s="320" t="s">
        <v>183</v>
      </c>
      <c r="H90" s="333" t="s">
        <v>183</v>
      </c>
      <c r="I90" s="333" t="s">
        <v>183</v>
      </c>
      <c r="J90" s="332" t="s">
        <v>183</v>
      </c>
      <c r="K90" s="332" t="s">
        <v>183</v>
      </c>
      <c r="L90" s="320" t="s">
        <v>183</v>
      </c>
      <c r="M90" s="333" t="s">
        <v>183</v>
      </c>
      <c r="N90" s="333" t="s">
        <v>183</v>
      </c>
      <c r="O90" s="332" t="s">
        <v>183</v>
      </c>
      <c r="P90" s="332" t="s">
        <v>183</v>
      </c>
      <c r="Q90" s="320" t="s">
        <v>183</v>
      </c>
      <c r="R90" s="333" t="s">
        <v>183</v>
      </c>
      <c r="S90" s="333" t="s">
        <v>183</v>
      </c>
      <c r="T90" s="332" t="s">
        <v>183</v>
      </c>
      <c r="U90" s="332" t="s">
        <v>183</v>
      </c>
      <c r="V90" s="320" t="s">
        <v>183</v>
      </c>
      <c r="W90" s="333" t="s">
        <v>183</v>
      </c>
      <c r="X90" s="333" t="s">
        <v>183</v>
      </c>
    </row>
    <row r="91" spans="1:24" ht="36" customHeight="1" x14ac:dyDescent="0.2">
      <c r="A91" s="251" t="s">
        <v>396</v>
      </c>
      <c r="B91" s="44" t="s">
        <v>472</v>
      </c>
      <c r="C91" s="215"/>
      <c r="D91" s="215"/>
      <c r="E91" s="19"/>
      <c r="F91" s="19"/>
      <c r="G91" s="104"/>
      <c r="H91" s="94"/>
      <c r="I91" s="252"/>
      <c r="J91" s="19"/>
      <c r="K91" s="19"/>
      <c r="L91" s="104"/>
      <c r="M91" s="94"/>
      <c r="N91" s="252"/>
      <c r="O91" s="19"/>
      <c r="P91" s="19"/>
      <c r="Q91" s="104"/>
      <c r="R91" s="94"/>
      <c r="S91" s="252"/>
      <c r="T91" s="19"/>
      <c r="U91" s="19"/>
      <c r="V91" s="104">
        <f>U91-T91</f>
        <v>0</v>
      </c>
      <c r="W91" s="94" t="str">
        <f>IFERROR(V91/ABS(T91), "-")</f>
        <v>-</v>
      </c>
      <c r="X91" s="252"/>
    </row>
    <row r="92" spans="1:24" x14ac:dyDescent="0.2">
      <c r="A92" s="272"/>
      <c r="B92" s="220"/>
      <c r="C92" s="221"/>
      <c r="D92" s="221"/>
      <c r="E92" s="222"/>
      <c r="F92" s="222"/>
      <c r="G92" s="223"/>
      <c r="H92" s="224"/>
      <c r="I92" s="224"/>
      <c r="J92" s="222"/>
      <c r="K92" s="222"/>
      <c r="L92" s="223"/>
      <c r="M92" s="224"/>
      <c r="N92" s="224"/>
      <c r="O92" s="222"/>
      <c r="P92" s="222"/>
      <c r="Q92" s="223"/>
      <c r="R92" s="224"/>
      <c r="S92" s="224"/>
      <c r="T92" s="222"/>
      <c r="U92" s="222"/>
      <c r="V92" s="223"/>
      <c r="W92" s="224"/>
      <c r="X92" s="224"/>
    </row>
    <row r="93" spans="1:24" x14ac:dyDescent="0.2">
      <c r="A93" s="31" t="s">
        <v>442</v>
      </c>
      <c r="B93" s="220"/>
      <c r="C93" s="221"/>
      <c r="D93" s="221"/>
      <c r="E93" s="222"/>
      <c r="F93" s="222"/>
      <c r="G93" s="223"/>
      <c r="H93" s="224"/>
      <c r="I93" s="224"/>
      <c r="J93" s="222"/>
      <c r="K93" s="222"/>
      <c r="L93" s="223"/>
      <c r="M93" s="224"/>
      <c r="N93" s="224"/>
      <c r="O93" s="222"/>
      <c r="P93" s="222"/>
      <c r="Q93" s="223"/>
      <c r="R93" s="224"/>
      <c r="S93" s="224"/>
      <c r="T93" s="222"/>
      <c r="U93" s="222"/>
      <c r="V93" s="223"/>
      <c r="W93" s="224"/>
      <c r="X93" s="224"/>
    </row>
    <row r="94" spans="1:24" s="13" customFormat="1" ht="31.5" customHeight="1" x14ac:dyDescent="0.2">
      <c r="A94" s="543" t="s">
        <v>515</v>
      </c>
      <c r="B94" s="543"/>
      <c r="C94" s="543"/>
      <c r="D94" s="543"/>
      <c r="E94" s="543"/>
      <c r="F94" s="543"/>
      <c r="G94" s="543"/>
      <c r="H94" s="543"/>
      <c r="I94" s="543"/>
      <c r="J94" s="273"/>
      <c r="K94" s="273"/>
      <c r="L94" s="273"/>
      <c r="M94" s="273"/>
      <c r="N94" s="273"/>
      <c r="O94" s="273"/>
      <c r="P94" s="273"/>
      <c r="Q94" s="273"/>
      <c r="R94" s="273"/>
      <c r="S94" s="273"/>
      <c r="T94" s="273"/>
      <c r="U94" s="273"/>
      <c r="V94" s="273"/>
      <c r="W94" s="273"/>
      <c r="X94" s="273"/>
    </row>
    <row r="95" spans="1:24" s="13" customFormat="1" ht="18.75" customHeight="1" x14ac:dyDescent="0.2">
      <c r="A95" s="543" t="s">
        <v>516</v>
      </c>
      <c r="B95" s="543"/>
      <c r="C95" s="543"/>
      <c r="D95" s="543"/>
      <c r="E95" s="543"/>
      <c r="F95" s="543"/>
      <c r="G95" s="543"/>
      <c r="H95" s="543"/>
      <c r="I95" s="543"/>
      <c r="J95" s="273"/>
      <c r="K95" s="273"/>
      <c r="L95" s="273"/>
      <c r="M95" s="273"/>
      <c r="N95" s="273"/>
      <c r="O95" s="273"/>
      <c r="P95" s="273"/>
      <c r="Q95" s="273"/>
      <c r="R95" s="273"/>
      <c r="S95" s="273"/>
      <c r="T95" s="273"/>
      <c r="U95" s="273"/>
      <c r="V95" s="273"/>
      <c r="W95" s="273"/>
      <c r="X95" s="273"/>
    </row>
    <row r="96" spans="1:24" s="13" customFormat="1" ht="18" customHeight="1" x14ac:dyDescent="0.2">
      <c r="A96" s="543" t="s">
        <v>517</v>
      </c>
      <c r="B96" s="543"/>
      <c r="C96" s="543"/>
      <c r="D96" s="543"/>
      <c r="E96" s="543"/>
      <c r="F96" s="543"/>
      <c r="G96" s="543"/>
      <c r="H96" s="543"/>
      <c r="I96" s="543"/>
      <c r="J96" s="273"/>
      <c r="K96" s="273"/>
      <c r="L96" s="273"/>
      <c r="M96" s="273"/>
      <c r="N96" s="273"/>
      <c r="O96" s="273"/>
      <c r="P96" s="273"/>
      <c r="Q96" s="273"/>
      <c r="R96" s="273"/>
      <c r="S96" s="273"/>
      <c r="T96" s="273"/>
      <c r="U96" s="273"/>
      <c r="V96" s="273"/>
      <c r="W96" s="273"/>
      <c r="X96" s="273"/>
    </row>
    <row r="97" spans="1:24" s="13" customFormat="1" ht="36" customHeight="1" x14ac:dyDescent="0.2">
      <c r="A97" s="543" t="s">
        <v>518</v>
      </c>
      <c r="B97" s="543"/>
      <c r="C97" s="543"/>
      <c r="D97" s="543"/>
      <c r="E97" s="543"/>
      <c r="F97" s="543"/>
      <c r="G97" s="543"/>
      <c r="H97" s="543"/>
      <c r="I97" s="543"/>
      <c r="J97" s="273"/>
      <c r="K97" s="273"/>
      <c r="L97" s="273"/>
      <c r="M97" s="273"/>
      <c r="N97" s="273"/>
      <c r="O97" s="273"/>
      <c r="P97" s="273"/>
      <c r="Q97" s="273"/>
      <c r="R97" s="273"/>
      <c r="S97" s="273"/>
      <c r="T97" s="273"/>
      <c r="U97" s="273"/>
      <c r="V97" s="273"/>
      <c r="W97" s="273"/>
      <c r="X97" s="273"/>
    </row>
    <row r="98" spans="1:24" s="13" customFormat="1" ht="18" customHeight="1" x14ac:dyDescent="0.2">
      <c r="A98" s="543" t="s">
        <v>519</v>
      </c>
      <c r="B98" s="543"/>
      <c r="C98" s="543"/>
      <c r="D98" s="543"/>
      <c r="E98" s="543"/>
      <c r="F98" s="543"/>
      <c r="G98" s="543"/>
      <c r="H98" s="543"/>
      <c r="I98" s="543"/>
      <c r="J98" s="273"/>
      <c r="K98" s="273"/>
      <c r="L98" s="273"/>
      <c r="M98" s="273"/>
      <c r="N98" s="273"/>
      <c r="O98" s="273"/>
      <c r="P98" s="273"/>
      <c r="Q98" s="273"/>
      <c r="R98" s="273"/>
      <c r="S98" s="273"/>
      <c r="T98" s="273"/>
      <c r="U98" s="273"/>
      <c r="V98" s="273"/>
      <c r="W98" s="273"/>
      <c r="X98" s="273"/>
    </row>
    <row r="99" spans="1:24" s="13" customFormat="1" ht="33.6" customHeight="1" x14ac:dyDescent="0.2">
      <c r="A99" s="543" t="s">
        <v>520</v>
      </c>
      <c r="B99" s="543"/>
      <c r="C99" s="543"/>
      <c r="D99" s="543"/>
      <c r="E99" s="543"/>
      <c r="F99" s="543"/>
      <c r="G99" s="543"/>
      <c r="H99" s="543"/>
      <c r="I99" s="543"/>
      <c r="J99" s="273"/>
      <c r="K99" s="273"/>
      <c r="L99" s="273"/>
      <c r="M99" s="273"/>
      <c r="N99" s="273"/>
      <c r="O99" s="273"/>
      <c r="P99" s="273"/>
      <c r="Q99" s="273"/>
      <c r="R99" s="273"/>
      <c r="S99" s="273"/>
      <c r="T99" s="273"/>
      <c r="U99" s="273"/>
      <c r="V99" s="273"/>
      <c r="W99" s="273"/>
      <c r="X99" s="273"/>
    </row>
    <row r="100" spans="1:24" s="13" customFormat="1" x14ac:dyDescent="0.2">
      <c r="A100" s="543" t="s">
        <v>521</v>
      </c>
      <c r="B100" s="543"/>
      <c r="C100" s="543"/>
      <c r="D100" s="543"/>
      <c r="E100" s="543"/>
      <c r="F100" s="543"/>
      <c r="G100" s="543"/>
      <c r="H100" s="543"/>
      <c r="I100" s="543"/>
      <c r="J100" s="273"/>
      <c r="K100" s="273"/>
      <c r="L100" s="273"/>
      <c r="M100" s="273"/>
      <c r="N100" s="273"/>
      <c r="O100" s="273"/>
      <c r="P100" s="273"/>
      <c r="Q100" s="273"/>
      <c r="R100" s="273"/>
      <c r="S100" s="273"/>
      <c r="T100" s="273"/>
      <c r="U100" s="273"/>
      <c r="V100" s="273"/>
      <c r="W100" s="273"/>
      <c r="X100" s="273"/>
    </row>
    <row r="101" spans="1:24" s="13" customFormat="1" ht="29.1" customHeight="1" x14ac:dyDescent="0.2">
      <c r="A101" s="544" t="s">
        <v>522</v>
      </c>
      <c r="B101" s="544"/>
      <c r="C101" s="544"/>
      <c r="D101" s="544"/>
      <c r="E101" s="544"/>
      <c r="F101" s="544"/>
      <c r="G101" s="544"/>
      <c r="H101" s="544"/>
      <c r="I101" s="544"/>
      <c r="J101" s="273"/>
      <c r="K101" s="273"/>
      <c r="L101" s="273"/>
      <c r="M101" s="273"/>
      <c r="N101" s="273"/>
      <c r="O101" s="273"/>
      <c r="P101" s="273"/>
      <c r="Q101" s="273"/>
      <c r="R101" s="273"/>
      <c r="S101" s="273"/>
      <c r="T101" s="273"/>
      <c r="U101" s="273"/>
      <c r="V101" s="273"/>
      <c r="W101" s="273"/>
      <c r="X101" s="273"/>
    </row>
    <row r="102" spans="1:24" s="13" customFormat="1" ht="31.5" customHeight="1" x14ac:dyDescent="0.2">
      <c r="A102" s="543" t="s">
        <v>523</v>
      </c>
      <c r="B102" s="543"/>
      <c r="C102" s="543"/>
      <c r="D102" s="543"/>
      <c r="E102" s="543"/>
      <c r="F102" s="543"/>
      <c r="G102" s="543"/>
      <c r="H102" s="543"/>
      <c r="I102" s="543"/>
      <c r="J102" s="273"/>
      <c r="K102" s="273"/>
      <c r="L102" s="273"/>
      <c r="M102" s="273"/>
      <c r="N102" s="273"/>
      <c r="O102" s="273"/>
      <c r="P102" s="273"/>
      <c r="Q102" s="273"/>
      <c r="R102" s="273"/>
      <c r="S102" s="273"/>
      <c r="T102" s="273"/>
      <c r="U102" s="273"/>
      <c r="V102" s="273"/>
      <c r="W102" s="273"/>
      <c r="X102" s="273"/>
    </row>
    <row r="103" spans="1:24" s="13" customFormat="1" ht="54.95" customHeight="1" x14ac:dyDescent="0.2">
      <c r="A103" s="543" t="s">
        <v>524</v>
      </c>
      <c r="B103" s="543"/>
      <c r="C103" s="543"/>
      <c r="D103" s="543"/>
      <c r="E103" s="543"/>
      <c r="F103" s="543"/>
      <c r="G103" s="543"/>
      <c r="H103" s="543"/>
      <c r="I103" s="543"/>
      <c r="J103" s="273"/>
      <c r="K103" s="273"/>
      <c r="L103" s="273"/>
      <c r="M103" s="273"/>
      <c r="N103" s="273"/>
      <c r="O103" s="273"/>
      <c r="P103" s="273"/>
      <c r="Q103" s="273"/>
      <c r="R103" s="273"/>
      <c r="S103" s="273"/>
      <c r="T103" s="273"/>
      <c r="U103" s="273"/>
      <c r="V103" s="273"/>
      <c r="W103" s="273"/>
      <c r="X103" s="273"/>
    </row>
    <row r="104" spans="1:24" s="13" customFormat="1" ht="38.1" customHeight="1" x14ac:dyDescent="0.2">
      <c r="A104" s="543" t="s">
        <v>525</v>
      </c>
      <c r="B104" s="543"/>
      <c r="C104" s="543"/>
      <c r="D104" s="543"/>
      <c r="E104" s="543"/>
      <c r="F104" s="543"/>
      <c r="G104" s="543"/>
      <c r="H104" s="543"/>
      <c r="I104" s="543"/>
      <c r="J104" s="273"/>
      <c r="K104" s="273"/>
      <c r="L104" s="273"/>
      <c r="M104" s="273"/>
      <c r="N104" s="273"/>
      <c r="O104" s="273"/>
      <c r="P104" s="273"/>
      <c r="Q104" s="273"/>
      <c r="R104" s="273"/>
      <c r="S104" s="273"/>
      <c r="T104" s="273"/>
      <c r="U104" s="273"/>
      <c r="V104" s="273"/>
      <c r="W104" s="273"/>
      <c r="X104" s="273"/>
    </row>
    <row r="105" spans="1:24" ht="31.5" customHeight="1" x14ac:dyDescent="0.2">
      <c r="A105" s="515" t="s">
        <v>527</v>
      </c>
      <c r="B105" s="515"/>
      <c r="C105" s="515"/>
      <c r="D105" s="515"/>
      <c r="E105" s="515"/>
      <c r="F105" s="515"/>
      <c r="G105" s="515"/>
      <c r="H105" s="515"/>
      <c r="I105" s="515"/>
      <c r="J105" s="33"/>
      <c r="K105" s="33"/>
      <c r="L105" s="33"/>
      <c r="M105" s="66"/>
      <c r="N105" s="66"/>
      <c r="O105" s="33"/>
      <c r="P105" s="33"/>
      <c r="Q105" s="33"/>
      <c r="R105" s="66"/>
      <c r="S105" s="66"/>
      <c r="T105" s="33"/>
      <c r="U105" s="33"/>
      <c r="V105" s="33"/>
      <c r="W105" s="66"/>
      <c r="X105" s="66"/>
    </row>
  </sheetData>
  <sheetProtection formatColumns="0" formatRows="0"/>
  <mergeCells count="12">
    <mergeCell ref="A105:I105"/>
    <mergeCell ref="A99:I99"/>
    <mergeCell ref="A94:I94"/>
    <mergeCell ref="A95:I95"/>
    <mergeCell ref="A96:I96"/>
    <mergeCell ref="A97:I97"/>
    <mergeCell ref="A98:I98"/>
    <mergeCell ref="A104:I104"/>
    <mergeCell ref="A100:I100"/>
    <mergeCell ref="A101:I101"/>
    <mergeCell ref="A102:I102"/>
    <mergeCell ref="A103:I103"/>
  </mergeCells>
  <pageMargins left="0.23622047244094491" right="0.23622047244094491" top="0.74803149606299213" bottom="0.74803149606299213" header="0.31496062992125984" footer="0.31496062992125984"/>
  <pageSetup paperSize="9" scale="25" fitToHeight="0" orientation="landscape" r:id="rId1"/>
  <headerFooter>
    <oddHeader xml:space="preserve">&amp;C&amp;"Times New Roman,Bold"&amp;14Naturālie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X32"/>
  <sheetViews>
    <sheetView view="pageBreakPreview" zoomScale="70" zoomScaleNormal="100" zoomScaleSheetLayoutView="70" workbookViewId="0">
      <pane ySplit="1" topLeftCell="A2" activePane="bottomLeft" state="frozen"/>
      <selection pane="bottomLeft" activeCell="K35" sqref="K35"/>
    </sheetView>
  </sheetViews>
  <sheetFormatPr defaultColWidth="7.7109375" defaultRowHeight="15.75" outlineLevelCol="1" x14ac:dyDescent="0.25"/>
  <cols>
    <col min="1" max="1" width="8.140625" style="274" customWidth="1"/>
    <col min="2" max="2" width="41.140625" style="274" customWidth="1"/>
    <col min="3" max="3" width="18.28515625" style="274" bestFit="1" customWidth="1"/>
    <col min="4" max="4" width="15.28515625" style="274" customWidth="1"/>
    <col min="5" max="5" width="18" style="274" bestFit="1" customWidth="1"/>
    <col min="6" max="6" width="17.28515625" style="274" customWidth="1" outlineLevel="1"/>
    <col min="7" max="8" width="18.7109375" style="274" customWidth="1" outlineLevel="1"/>
    <col min="9" max="9" width="19" style="274" customWidth="1" outlineLevel="1"/>
    <col min="10" max="10" width="18" style="274" bestFit="1" customWidth="1"/>
    <col min="11" max="11" width="17.28515625" style="274" customWidth="1" outlineLevel="1"/>
    <col min="12" max="13" width="18.7109375" style="274" customWidth="1" outlineLevel="1"/>
    <col min="14" max="14" width="19" style="274" customWidth="1" outlineLevel="1"/>
    <col min="15" max="15" width="18" style="274" bestFit="1" customWidth="1"/>
    <col min="16" max="16" width="17.28515625" style="274" customWidth="1" outlineLevel="1"/>
    <col min="17" max="18" width="18.7109375" style="274" customWidth="1" outlineLevel="1"/>
    <col min="19" max="19" width="19" style="274" customWidth="1" outlineLevel="1"/>
    <col min="20" max="20" width="18" style="274" bestFit="1" customWidth="1"/>
    <col min="21" max="21" width="17.28515625" style="274" customWidth="1" outlineLevel="1"/>
    <col min="22" max="23" width="18.7109375" style="274" customWidth="1" outlineLevel="1"/>
    <col min="24" max="24" width="19" style="274" customWidth="1" outlineLevel="1"/>
    <col min="25" max="230" width="9.140625" style="274" customWidth="1"/>
    <col min="231" max="231" width="3.140625" style="274" customWidth="1"/>
    <col min="232" max="232" width="4.42578125" style="274" customWidth="1"/>
    <col min="233" max="233" width="26" style="274" customWidth="1"/>
    <col min="234" max="234" width="8.7109375" style="274" customWidth="1"/>
    <col min="235" max="236" width="7.7109375" style="274"/>
    <col min="237" max="237" width="8.7109375" style="274" customWidth="1"/>
    <col min="238" max="239" width="7.7109375" style="274"/>
    <col min="240" max="240" width="8.7109375" style="274" customWidth="1"/>
    <col min="241" max="16384" width="7.7109375" style="274"/>
  </cols>
  <sheetData>
    <row r="1" spans="1:24" ht="63" x14ac:dyDescent="0.25">
      <c r="A1" s="101" t="s">
        <v>0</v>
      </c>
      <c r="B1" s="206" t="s">
        <v>511</v>
      </c>
      <c r="C1" s="25" t="s">
        <v>568</v>
      </c>
      <c r="D1" s="25" t="s">
        <v>569</v>
      </c>
      <c r="E1" s="25" t="s">
        <v>570</v>
      </c>
      <c r="F1" s="25" t="s">
        <v>575</v>
      </c>
      <c r="G1" s="26" t="s">
        <v>573</v>
      </c>
      <c r="H1" s="27" t="s">
        <v>574</v>
      </c>
      <c r="I1" s="25" t="s">
        <v>443</v>
      </c>
      <c r="J1" s="25" t="s">
        <v>571</v>
      </c>
      <c r="K1" s="25" t="s">
        <v>430</v>
      </c>
      <c r="L1" s="26" t="s">
        <v>404</v>
      </c>
      <c r="M1" s="27" t="s">
        <v>405</v>
      </c>
      <c r="N1" s="25" t="s">
        <v>443</v>
      </c>
      <c r="O1" s="25" t="s">
        <v>576</v>
      </c>
      <c r="P1" s="25" t="s">
        <v>431</v>
      </c>
      <c r="Q1" s="26" t="s">
        <v>404</v>
      </c>
      <c r="R1" s="27" t="s">
        <v>405</v>
      </c>
      <c r="S1" s="25" t="s">
        <v>443</v>
      </c>
      <c r="T1" s="25" t="s">
        <v>578</v>
      </c>
      <c r="U1" s="25" t="s">
        <v>432</v>
      </c>
      <c r="V1" s="26" t="s">
        <v>404</v>
      </c>
      <c r="W1" s="27" t="s">
        <v>405</v>
      </c>
      <c r="X1" s="25" t="s">
        <v>443</v>
      </c>
    </row>
    <row r="2" spans="1:24" x14ac:dyDescent="0.25">
      <c r="A2" s="101">
        <v>1</v>
      </c>
      <c r="B2" s="206">
        <v>2</v>
      </c>
      <c r="C2" s="25">
        <v>3</v>
      </c>
      <c r="D2" s="25">
        <v>4</v>
      </c>
      <c r="E2" s="25">
        <v>5</v>
      </c>
      <c r="F2" s="25">
        <v>6</v>
      </c>
      <c r="G2" s="26">
        <v>7</v>
      </c>
      <c r="H2" s="28">
        <v>8</v>
      </c>
      <c r="I2" s="25"/>
      <c r="J2" s="25">
        <v>10</v>
      </c>
      <c r="K2" s="25">
        <v>11</v>
      </c>
      <c r="L2" s="26">
        <v>12</v>
      </c>
      <c r="M2" s="28">
        <v>13</v>
      </c>
      <c r="N2" s="25">
        <v>14</v>
      </c>
      <c r="O2" s="25">
        <v>15</v>
      </c>
      <c r="P2" s="25">
        <v>16</v>
      </c>
      <c r="Q2" s="26">
        <v>17</v>
      </c>
      <c r="R2" s="28">
        <v>18</v>
      </c>
      <c r="S2" s="25">
        <v>19</v>
      </c>
      <c r="T2" s="25">
        <v>20</v>
      </c>
      <c r="U2" s="25">
        <v>21</v>
      </c>
      <c r="V2" s="26">
        <v>22</v>
      </c>
      <c r="W2" s="28">
        <v>23</v>
      </c>
      <c r="X2" s="25">
        <v>24</v>
      </c>
    </row>
    <row r="3" spans="1:24" x14ac:dyDescent="0.25">
      <c r="A3" s="189">
        <v>51000</v>
      </c>
      <c r="B3" s="183" t="s">
        <v>254</v>
      </c>
      <c r="C3" s="120">
        <v>33275</v>
      </c>
      <c r="D3" s="120">
        <f>D4+D5+D6+D8</f>
        <v>0</v>
      </c>
      <c r="E3" s="120">
        <f>E4+E5+E6+E8</f>
        <v>0</v>
      </c>
      <c r="F3" s="120">
        <f>F4+F5+F6+F8</f>
        <v>0</v>
      </c>
      <c r="G3" s="123">
        <f>F3-E3</f>
        <v>0</v>
      </c>
      <c r="H3" s="124" t="str">
        <f>IFERROR(G3/ABS(E3), "-")</f>
        <v>-</v>
      </c>
      <c r="I3" s="545"/>
      <c r="J3" s="120">
        <f>J4+J5+J6+J8</f>
        <v>0</v>
      </c>
      <c r="K3" s="120">
        <f>K4+K5+K6+K8</f>
        <v>0</v>
      </c>
      <c r="L3" s="123">
        <f>K3-J3</f>
        <v>0</v>
      </c>
      <c r="M3" s="124" t="str">
        <f>IFERROR(L3/ABS(J3), "-")</f>
        <v>-</v>
      </c>
      <c r="N3" s="540"/>
      <c r="O3" s="120">
        <f>O4+O5+O6+O8</f>
        <v>0</v>
      </c>
      <c r="P3" s="120">
        <f>P4+P5+P6+P8</f>
        <v>0</v>
      </c>
      <c r="Q3" s="123">
        <f>P3-O3</f>
        <v>0</v>
      </c>
      <c r="R3" s="124" t="str">
        <f>IFERROR(Q3/ABS(O3), "-")</f>
        <v>-</v>
      </c>
      <c r="S3" s="540"/>
      <c r="T3" s="120">
        <f>T4+T5+T6+T8</f>
        <v>0</v>
      </c>
      <c r="U3" s="120">
        <f>U4+U5+U6+U8</f>
        <v>0</v>
      </c>
      <c r="V3" s="123">
        <f>U3-T3</f>
        <v>0</v>
      </c>
      <c r="W3" s="124" t="str">
        <f>IFERROR(V3/ABS(T3), "-")</f>
        <v>-</v>
      </c>
      <c r="X3" s="540"/>
    </row>
    <row r="4" spans="1:24" x14ac:dyDescent="0.25">
      <c r="A4" s="101">
        <v>51100</v>
      </c>
      <c r="B4" s="207" t="s">
        <v>473</v>
      </c>
      <c r="C4" s="208"/>
      <c r="D4" s="208"/>
      <c r="E4" s="208"/>
      <c r="F4" s="208"/>
      <c r="G4" s="209">
        <f t="shared" ref="G4:G27" si="0">F4-E4</f>
        <v>0</v>
      </c>
      <c r="H4" s="210" t="str">
        <f t="shared" ref="H4:H27" si="1">IFERROR(G4/ABS(E4), "-")</f>
        <v>-</v>
      </c>
      <c r="I4" s="546"/>
      <c r="J4" s="208"/>
      <c r="K4" s="208"/>
      <c r="L4" s="209">
        <f t="shared" ref="L4:L27" si="2">K4-J4</f>
        <v>0</v>
      </c>
      <c r="M4" s="210" t="str">
        <f t="shared" ref="M4:M27" si="3">IFERROR(L4/ABS(J4), "-")</f>
        <v>-</v>
      </c>
      <c r="N4" s="541"/>
      <c r="O4" s="208"/>
      <c r="P4" s="208"/>
      <c r="Q4" s="209">
        <f t="shared" ref="Q4:Q27" si="4">P4-O4</f>
        <v>0</v>
      </c>
      <c r="R4" s="210" t="str">
        <f t="shared" ref="R4:R27" si="5">IFERROR(Q4/ABS(O4), "-")</f>
        <v>-</v>
      </c>
      <c r="S4" s="541"/>
      <c r="T4" s="208"/>
      <c r="U4" s="208"/>
      <c r="V4" s="209">
        <f t="shared" ref="V4:V27" si="6">U4-T4</f>
        <v>0</v>
      </c>
      <c r="W4" s="210" t="str">
        <f t="shared" ref="W4:W27" si="7">IFERROR(V4/ABS(T4), "-")</f>
        <v>-</v>
      </c>
      <c r="X4" s="541"/>
    </row>
    <row r="5" spans="1:24" x14ac:dyDescent="0.25">
      <c r="A5" s="211">
        <v>51200</v>
      </c>
      <c r="B5" s="212" t="s">
        <v>474</v>
      </c>
      <c r="C5" s="208"/>
      <c r="D5" s="208"/>
      <c r="E5" s="208"/>
      <c r="F5" s="208"/>
      <c r="G5" s="209">
        <f t="shared" si="0"/>
        <v>0</v>
      </c>
      <c r="H5" s="210" t="str">
        <f t="shared" si="1"/>
        <v>-</v>
      </c>
      <c r="I5" s="546"/>
      <c r="J5" s="208"/>
      <c r="K5" s="208"/>
      <c r="L5" s="209">
        <f t="shared" si="2"/>
        <v>0</v>
      </c>
      <c r="M5" s="210" t="str">
        <f t="shared" si="3"/>
        <v>-</v>
      </c>
      <c r="N5" s="541"/>
      <c r="O5" s="208"/>
      <c r="P5" s="208"/>
      <c r="Q5" s="209">
        <f t="shared" si="4"/>
        <v>0</v>
      </c>
      <c r="R5" s="210" t="str">
        <f t="shared" si="5"/>
        <v>-</v>
      </c>
      <c r="S5" s="541"/>
      <c r="T5" s="208"/>
      <c r="U5" s="208"/>
      <c r="V5" s="209">
        <f t="shared" si="6"/>
        <v>0</v>
      </c>
      <c r="W5" s="210" t="str">
        <f t="shared" si="7"/>
        <v>-</v>
      </c>
      <c r="X5" s="541"/>
    </row>
    <row r="6" spans="1:24" ht="31.5" x14ac:dyDescent="0.25">
      <c r="A6" s="211">
        <v>51300</v>
      </c>
      <c r="B6" s="212" t="s">
        <v>410</v>
      </c>
      <c r="C6" s="208">
        <v>33275</v>
      </c>
      <c r="D6" s="208"/>
      <c r="E6" s="208"/>
      <c r="F6" s="208"/>
      <c r="G6" s="209">
        <f t="shared" si="0"/>
        <v>0</v>
      </c>
      <c r="H6" s="210" t="str">
        <f t="shared" si="1"/>
        <v>-</v>
      </c>
      <c r="I6" s="546"/>
      <c r="J6" s="208"/>
      <c r="K6" s="208"/>
      <c r="L6" s="209">
        <f t="shared" si="2"/>
        <v>0</v>
      </c>
      <c r="M6" s="210" t="str">
        <f t="shared" si="3"/>
        <v>-</v>
      </c>
      <c r="N6" s="541"/>
      <c r="O6" s="208"/>
      <c r="P6" s="208"/>
      <c r="Q6" s="209">
        <f t="shared" si="4"/>
        <v>0</v>
      </c>
      <c r="R6" s="210" t="str">
        <f t="shared" si="5"/>
        <v>-</v>
      </c>
      <c r="S6" s="541"/>
      <c r="T6" s="208"/>
      <c r="U6" s="208"/>
      <c r="V6" s="209">
        <f t="shared" si="6"/>
        <v>0</v>
      </c>
      <c r="W6" s="210" t="str">
        <f t="shared" si="7"/>
        <v>-</v>
      </c>
      <c r="X6" s="541"/>
    </row>
    <row r="7" spans="1:24" x14ac:dyDescent="0.25">
      <c r="A7" s="211"/>
      <c r="B7" s="212" t="s">
        <v>585</v>
      </c>
      <c r="C7" s="208"/>
      <c r="D7" s="208"/>
      <c r="E7" s="208"/>
      <c r="F7" s="208"/>
      <c r="G7" s="209"/>
      <c r="H7" s="210"/>
      <c r="I7" s="546"/>
      <c r="J7" s="208"/>
      <c r="K7" s="208"/>
      <c r="L7" s="209"/>
      <c r="M7" s="210"/>
      <c r="N7" s="541"/>
      <c r="O7" s="208"/>
      <c r="P7" s="208"/>
      <c r="Q7" s="209"/>
      <c r="R7" s="210"/>
      <c r="S7" s="541"/>
      <c r="T7" s="208"/>
      <c r="U7" s="208"/>
      <c r="V7" s="209"/>
      <c r="W7" s="210"/>
      <c r="X7" s="541"/>
    </row>
    <row r="8" spans="1:24" x14ac:dyDescent="0.25">
      <c r="A8" s="211">
        <v>51400</v>
      </c>
      <c r="B8" s="212" t="s">
        <v>475</v>
      </c>
      <c r="C8" s="208"/>
      <c r="D8" s="208"/>
      <c r="E8" s="208"/>
      <c r="F8" s="208"/>
      <c r="G8" s="209">
        <f t="shared" si="0"/>
        <v>0</v>
      </c>
      <c r="H8" s="210" t="str">
        <f t="shared" si="1"/>
        <v>-</v>
      </c>
      <c r="I8" s="546"/>
      <c r="J8" s="208"/>
      <c r="K8" s="208"/>
      <c r="L8" s="209">
        <f t="shared" si="2"/>
        <v>0</v>
      </c>
      <c r="M8" s="210" t="str">
        <f t="shared" si="3"/>
        <v>-</v>
      </c>
      <c r="N8" s="541"/>
      <c r="O8" s="208"/>
      <c r="P8" s="208"/>
      <c r="Q8" s="209">
        <f t="shared" si="4"/>
        <v>0</v>
      </c>
      <c r="R8" s="210" t="str">
        <f t="shared" si="5"/>
        <v>-</v>
      </c>
      <c r="S8" s="541"/>
      <c r="T8" s="208"/>
      <c r="U8" s="208"/>
      <c r="V8" s="209">
        <f t="shared" si="6"/>
        <v>0</v>
      </c>
      <c r="W8" s="210" t="str">
        <f t="shared" si="7"/>
        <v>-</v>
      </c>
      <c r="X8" s="541"/>
    </row>
    <row r="9" spans="1:24" x14ac:dyDescent="0.25">
      <c r="A9" s="189">
        <v>52000</v>
      </c>
      <c r="B9" s="183" t="s">
        <v>255</v>
      </c>
      <c r="C9" s="120">
        <v>265505</v>
      </c>
      <c r="D9" s="120">
        <f ca="1">SUM(OFFSET(D17,-1,0):OFFSET(D9,1,0))</f>
        <v>0</v>
      </c>
      <c r="E9" s="120">
        <f ca="1">SUM(OFFSET(E17,-1,0):OFFSET(E9,1,0))</f>
        <v>0</v>
      </c>
      <c r="F9" s="120">
        <f ca="1">SUM(OFFSET(F17,-1,0):OFFSET(F9,1,0))</f>
        <v>0</v>
      </c>
      <c r="G9" s="123">
        <f t="shared" ca="1" si="0"/>
        <v>0</v>
      </c>
      <c r="H9" s="124" t="str">
        <f t="shared" ca="1" si="1"/>
        <v>-</v>
      </c>
      <c r="I9" s="540"/>
      <c r="J9" s="120">
        <f ca="1">SUM(OFFSET(J17,-1,0):OFFSET(J9,1,0))</f>
        <v>0</v>
      </c>
      <c r="K9" s="120">
        <f ca="1">SUM(OFFSET(K17,-1,0):OFFSET(K9,1,0))</f>
        <v>0</v>
      </c>
      <c r="L9" s="123">
        <f t="shared" ca="1" si="2"/>
        <v>0</v>
      </c>
      <c r="M9" s="124" t="str">
        <f t="shared" ca="1" si="3"/>
        <v>-</v>
      </c>
      <c r="N9" s="540"/>
      <c r="O9" s="120">
        <f ca="1">SUM(OFFSET(O17,-1,0):OFFSET(O9,1,0))</f>
        <v>0</v>
      </c>
      <c r="P9" s="120">
        <f ca="1">SUM(OFFSET(P17,-1,0):OFFSET(P9,1,0))</f>
        <v>0</v>
      </c>
      <c r="Q9" s="123">
        <f t="shared" ca="1" si="4"/>
        <v>0</v>
      </c>
      <c r="R9" s="124" t="str">
        <f t="shared" ca="1" si="5"/>
        <v>-</v>
      </c>
      <c r="S9" s="540"/>
      <c r="T9" s="120">
        <f ca="1">SUM(OFFSET(T17,-1,0):OFFSET(T9,1,0))</f>
        <v>0</v>
      </c>
      <c r="U9" s="120">
        <f ca="1">SUM(OFFSET(U17,-1,0):OFFSET(U9,1,0))</f>
        <v>0</v>
      </c>
      <c r="V9" s="123">
        <f t="shared" ca="1" si="6"/>
        <v>0</v>
      </c>
      <c r="W9" s="124" t="str">
        <f t="shared" ca="1" si="7"/>
        <v>-</v>
      </c>
      <c r="X9" s="540"/>
    </row>
    <row r="10" spans="1:24" x14ac:dyDescent="0.25">
      <c r="A10" s="213">
        <v>52100</v>
      </c>
      <c r="B10" s="214" t="s">
        <v>476</v>
      </c>
      <c r="C10" s="215">
        <v>265505</v>
      </c>
      <c r="D10" s="215"/>
      <c r="E10" s="103"/>
      <c r="F10" s="103"/>
      <c r="G10" s="104">
        <f t="shared" si="0"/>
        <v>0</v>
      </c>
      <c r="H10" s="29" t="str">
        <f t="shared" si="1"/>
        <v>-</v>
      </c>
      <c r="I10" s="541"/>
      <c r="J10" s="103"/>
      <c r="K10" s="103"/>
      <c r="L10" s="104">
        <f t="shared" si="2"/>
        <v>0</v>
      </c>
      <c r="M10" s="29" t="str">
        <f t="shared" si="3"/>
        <v>-</v>
      </c>
      <c r="N10" s="541"/>
      <c r="O10" s="103"/>
      <c r="P10" s="103"/>
      <c r="Q10" s="104">
        <f t="shared" si="4"/>
        <v>0</v>
      </c>
      <c r="R10" s="29" t="str">
        <f t="shared" si="5"/>
        <v>-</v>
      </c>
      <c r="S10" s="541"/>
      <c r="T10" s="103"/>
      <c r="U10" s="103"/>
      <c r="V10" s="104">
        <f t="shared" si="6"/>
        <v>0</v>
      </c>
      <c r="W10" s="29" t="str">
        <f t="shared" si="7"/>
        <v>-</v>
      </c>
      <c r="X10" s="541"/>
    </row>
    <row r="11" spans="1:24" x14ac:dyDescent="0.25">
      <c r="A11" s="213">
        <v>52200</v>
      </c>
      <c r="B11" s="214" t="s">
        <v>477</v>
      </c>
      <c r="C11" s="215"/>
      <c r="D11" s="215"/>
      <c r="E11" s="103"/>
      <c r="F11" s="103"/>
      <c r="G11" s="104">
        <f t="shared" si="0"/>
        <v>0</v>
      </c>
      <c r="H11" s="29" t="str">
        <f t="shared" si="1"/>
        <v>-</v>
      </c>
      <c r="I11" s="541"/>
      <c r="J11" s="103"/>
      <c r="K11" s="103"/>
      <c r="L11" s="104">
        <f t="shared" si="2"/>
        <v>0</v>
      </c>
      <c r="M11" s="29" t="str">
        <f t="shared" si="3"/>
        <v>-</v>
      </c>
      <c r="N11" s="541"/>
      <c r="O11" s="103"/>
      <c r="P11" s="103"/>
      <c r="Q11" s="104">
        <f t="shared" si="4"/>
        <v>0</v>
      </c>
      <c r="R11" s="29" t="str">
        <f t="shared" si="5"/>
        <v>-</v>
      </c>
      <c r="S11" s="541"/>
      <c r="T11" s="103"/>
      <c r="U11" s="103"/>
      <c r="V11" s="104">
        <f t="shared" si="6"/>
        <v>0</v>
      </c>
      <c r="W11" s="29" t="str">
        <f t="shared" si="7"/>
        <v>-</v>
      </c>
      <c r="X11" s="541"/>
    </row>
    <row r="12" spans="1:24" x14ac:dyDescent="0.25">
      <c r="A12" s="213">
        <v>52300</v>
      </c>
      <c r="B12" s="214" t="s">
        <v>478</v>
      </c>
      <c r="C12" s="215"/>
      <c r="D12" s="215"/>
      <c r="E12" s="103"/>
      <c r="F12" s="103"/>
      <c r="G12" s="104">
        <f t="shared" si="0"/>
        <v>0</v>
      </c>
      <c r="H12" s="29" t="str">
        <f t="shared" si="1"/>
        <v>-</v>
      </c>
      <c r="I12" s="541"/>
      <c r="J12" s="103"/>
      <c r="K12" s="103"/>
      <c r="L12" s="104">
        <f t="shared" si="2"/>
        <v>0</v>
      </c>
      <c r="M12" s="29" t="str">
        <f t="shared" si="3"/>
        <v>-</v>
      </c>
      <c r="N12" s="541"/>
      <c r="O12" s="103"/>
      <c r="P12" s="103"/>
      <c r="Q12" s="104">
        <f t="shared" si="4"/>
        <v>0</v>
      </c>
      <c r="R12" s="29" t="str">
        <f t="shared" si="5"/>
        <v>-</v>
      </c>
      <c r="S12" s="541"/>
      <c r="T12" s="103"/>
      <c r="U12" s="103"/>
      <c r="V12" s="104">
        <f t="shared" si="6"/>
        <v>0</v>
      </c>
      <c r="W12" s="29" t="str">
        <f t="shared" si="7"/>
        <v>-</v>
      </c>
      <c r="X12" s="541"/>
    </row>
    <row r="13" spans="1:24" x14ac:dyDescent="0.25">
      <c r="A13" s="213">
        <v>52400</v>
      </c>
      <c r="B13" s="214" t="s">
        <v>479</v>
      </c>
      <c r="C13" s="215"/>
      <c r="D13" s="215"/>
      <c r="E13" s="103"/>
      <c r="F13" s="103"/>
      <c r="G13" s="104">
        <f t="shared" si="0"/>
        <v>0</v>
      </c>
      <c r="H13" s="29" t="str">
        <f t="shared" si="1"/>
        <v>-</v>
      </c>
      <c r="I13" s="541"/>
      <c r="J13" s="103"/>
      <c r="K13" s="103"/>
      <c r="L13" s="104">
        <f t="shared" si="2"/>
        <v>0</v>
      </c>
      <c r="M13" s="29" t="str">
        <f t="shared" si="3"/>
        <v>-</v>
      </c>
      <c r="N13" s="541"/>
      <c r="O13" s="103"/>
      <c r="P13" s="103"/>
      <c r="Q13" s="104">
        <f t="shared" si="4"/>
        <v>0</v>
      </c>
      <c r="R13" s="29" t="str">
        <f t="shared" si="5"/>
        <v>-</v>
      </c>
      <c r="S13" s="541"/>
      <c r="T13" s="103"/>
      <c r="U13" s="103"/>
      <c r="V13" s="104">
        <f t="shared" si="6"/>
        <v>0</v>
      </c>
      <c r="W13" s="29" t="str">
        <f t="shared" si="7"/>
        <v>-</v>
      </c>
      <c r="X13" s="541"/>
    </row>
    <row r="14" spans="1:24" x14ac:dyDescent="0.25">
      <c r="A14" s="213">
        <v>52500</v>
      </c>
      <c r="B14" s="214" t="s">
        <v>480</v>
      </c>
      <c r="C14" s="215"/>
      <c r="D14" s="215"/>
      <c r="E14" s="103"/>
      <c r="F14" s="103"/>
      <c r="G14" s="104">
        <f t="shared" si="0"/>
        <v>0</v>
      </c>
      <c r="H14" s="29" t="str">
        <f t="shared" si="1"/>
        <v>-</v>
      </c>
      <c r="I14" s="541"/>
      <c r="J14" s="103"/>
      <c r="K14" s="103"/>
      <c r="L14" s="104">
        <f t="shared" si="2"/>
        <v>0</v>
      </c>
      <c r="M14" s="29" t="str">
        <f t="shared" si="3"/>
        <v>-</v>
      </c>
      <c r="N14" s="541"/>
      <c r="O14" s="103"/>
      <c r="P14" s="103"/>
      <c r="Q14" s="104">
        <f t="shared" si="4"/>
        <v>0</v>
      </c>
      <c r="R14" s="29" t="str">
        <f t="shared" si="5"/>
        <v>-</v>
      </c>
      <c r="S14" s="541"/>
      <c r="T14" s="103"/>
      <c r="U14" s="103"/>
      <c r="V14" s="104">
        <f t="shared" si="6"/>
        <v>0</v>
      </c>
      <c r="W14" s="29" t="str">
        <f t="shared" si="7"/>
        <v>-</v>
      </c>
      <c r="X14" s="541"/>
    </row>
    <row r="15" spans="1:24" x14ac:dyDescent="0.25">
      <c r="A15" s="213">
        <v>52600</v>
      </c>
      <c r="B15" s="214" t="s">
        <v>253</v>
      </c>
      <c r="C15" s="215"/>
      <c r="D15" s="215"/>
      <c r="E15" s="103"/>
      <c r="F15" s="103"/>
      <c r="G15" s="104">
        <f t="shared" si="0"/>
        <v>0</v>
      </c>
      <c r="H15" s="29" t="str">
        <f t="shared" si="1"/>
        <v>-</v>
      </c>
      <c r="I15" s="541"/>
      <c r="J15" s="103"/>
      <c r="K15" s="103"/>
      <c r="L15" s="104">
        <f t="shared" si="2"/>
        <v>0</v>
      </c>
      <c r="M15" s="29" t="str">
        <f t="shared" si="3"/>
        <v>-</v>
      </c>
      <c r="N15" s="541"/>
      <c r="O15" s="103"/>
      <c r="P15" s="103"/>
      <c r="Q15" s="104">
        <f t="shared" si="4"/>
        <v>0</v>
      </c>
      <c r="R15" s="29" t="str">
        <f t="shared" si="5"/>
        <v>-</v>
      </c>
      <c r="S15" s="541"/>
      <c r="T15" s="103"/>
      <c r="U15" s="103"/>
      <c r="V15" s="104">
        <f t="shared" si="6"/>
        <v>0</v>
      </c>
      <c r="W15" s="29" t="str">
        <f t="shared" si="7"/>
        <v>-</v>
      </c>
      <c r="X15" s="541"/>
    </row>
    <row r="16" spans="1:24" x14ac:dyDescent="0.25">
      <c r="A16" s="216">
        <v>52700</v>
      </c>
      <c r="B16" s="217" t="s">
        <v>481</v>
      </c>
      <c r="C16" s="215"/>
      <c r="D16" s="215"/>
      <c r="E16" s="103"/>
      <c r="F16" s="103"/>
      <c r="G16" s="104">
        <f t="shared" si="0"/>
        <v>0</v>
      </c>
      <c r="H16" s="29" t="str">
        <f t="shared" si="1"/>
        <v>-</v>
      </c>
      <c r="I16" s="542"/>
      <c r="J16" s="103"/>
      <c r="K16" s="103"/>
      <c r="L16" s="104">
        <f t="shared" si="2"/>
        <v>0</v>
      </c>
      <c r="M16" s="29" t="str">
        <f t="shared" si="3"/>
        <v>-</v>
      </c>
      <c r="N16" s="542"/>
      <c r="O16" s="103"/>
      <c r="P16" s="103"/>
      <c r="Q16" s="104">
        <f t="shared" si="4"/>
        <v>0</v>
      </c>
      <c r="R16" s="29" t="str">
        <f t="shared" si="5"/>
        <v>-</v>
      </c>
      <c r="S16" s="542"/>
      <c r="T16" s="103"/>
      <c r="U16" s="103"/>
      <c r="V16" s="104">
        <f t="shared" si="6"/>
        <v>0</v>
      </c>
      <c r="W16" s="29" t="str">
        <f t="shared" si="7"/>
        <v>-</v>
      </c>
      <c r="X16" s="542"/>
    </row>
    <row r="17" spans="1:24" x14ac:dyDescent="0.25">
      <c r="A17" s="189">
        <v>53000</v>
      </c>
      <c r="B17" s="183" t="s">
        <v>256</v>
      </c>
      <c r="C17" s="120">
        <v>789907</v>
      </c>
      <c r="D17" s="120">
        <f>D18+D21+D22+D23+D25+D26</f>
        <v>207747</v>
      </c>
      <c r="E17" s="120">
        <f>E18+E21+E22+E23+E25+E26</f>
        <v>121322</v>
      </c>
      <c r="F17" s="120">
        <f>F18+F21+F22+F23+F25+F26</f>
        <v>0</v>
      </c>
      <c r="G17" s="123">
        <f t="shared" si="0"/>
        <v>-121322</v>
      </c>
      <c r="H17" s="124">
        <f t="shared" si="1"/>
        <v>-1</v>
      </c>
      <c r="I17" s="545"/>
      <c r="J17" s="120">
        <f>J18+J21+J22+J23+J25+J26</f>
        <v>207747</v>
      </c>
      <c r="K17" s="120">
        <f>K18+K21+K22+K23+K25+K26</f>
        <v>0</v>
      </c>
      <c r="L17" s="123">
        <f t="shared" si="2"/>
        <v>-207747</v>
      </c>
      <c r="M17" s="124">
        <f t="shared" si="3"/>
        <v>-1</v>
      </c>
      <c r="N17" s="540"/>
      <c r="O17" s="120">
        <f>O18+O21+O22+O23+O25+O26</f>
        <v>207747</v>
      </c>
      <c r="P17" s="120">
        <f>P18+P21+P22+P23+P25+P26</f>
        <v>0</v>
      </c>
      <c r="Q17" s="123">
        <f t="shared" si="4"/>
        <v>-207747</v>
      </c>
      <c r="R17" s="124">
        <f t="shared" si="5"/>
        <v>-1</v>
      </c>
      <c r="S17" s="540"/>
      <c r="T17" s="120">
        <f>T18+T21+T22+T23+T25+T26</f>
        <v>207747</v>
      </c>
      <c r="U17" s="120">
        <f>U18+U21+U22+U23+U25+U26</f>
        <v>0</v>
      </c>
      <c r="V17" s="123">
        <f t="shared" si="6"/>
        <v>-207747</v>
      </c>
      <c r="W17" s="124">
        <f t="shared" si="7"/>
        <v>-1</v>
      </c>
      <c r="X17" s="540"/>
    </row>
    <row r="18" spans="1:24" x14ac:dyDescent="0.25">
      <c r="A18" s="218">
        <v>53100</v>
      </c>
      <c r="B18" s="219" t="s">
        <v>482</v>
      </c>
      <c r="C18" s="208">
        <v>713490</v>
      </c>
      <c r="D18" s="208">
        <f>D19+D20</f>
        <v>207747</v>
      </c>
      <c r="E18" s="208">
        <f>E19+E20</f>
        <v>121322</v>
      </c>
      <c r="F18" s="208"/>
      <c r="G18" s="209">
        <f t="shared" si="0"/>
        <v>-121322</v>
      </c>
      <c r="H18" s="210">
        <f t="shared" si="1"/>
        <v>-1</v>
      </c>
      <c r="I18" s="546"/>
      <c r="J18" s="208">
        <f>J19+J20</f>
        <v>207747</v>
      </c>
      <c r="K18" s="208">
        <f>K19+K20</f>
        <v>0</v>
      </c>
      <c r="L18" s="209">
        <f t="shared" si="2"/>
        <v>-207747</v>
      </c>
      <c r="M18" s="210">
        <f t="shared" si="3"/>
        <v>-1</v>
      </c>
      <c r="N18" s="541"/>
      <c r="O18" s="208">
        <f>O19+O20</f>
        <v>207747</v>
      </c>
      <c r="P18" s="208">
        <f>P19+P20</f>
        <v>0</v>
      </c>
      <c r="Q18" s="209">
        <f t="shared" si="4"/>
        <v>-207747</v>
      </c>
      <c r="R18" s="210">
        <f t="shared" si="5"/>
        <v>-1</v>
      </c>
      <c r="S18" s="541"/>
      <c r="T18" s="208">
        <f>T19+T20</f>
        <v>207747</v>
      </c>
      <c r="U18" s="208">
        <f>U19+U20</f>
        <v>0</v>
      </c>
      <c r="V18" s="209">
        <f t="shared" si="6"/>
        <v>-207747</v>
      </c>
      <c r="W18" s="210">
        <f t="shared" si="7"/>
        <v>-1</v>
      </c>
      <c r="X18" s="541"/>
    </row>
    <row r="19" spans="1:24" x14ac:dyDescent="0.25">
      <c r="A19" s="213">
        <v>53110</v>
      </c>
      <c r="B19" s="214" t="s">
        <v>411</v>
      </c>
      <c r="C19" s="208"/>
      <c r="D19" s="208">
        <v>207747</v>
      </c>
      <c r="E19" s="208">
        <v>121322</v>
      </c>
      <c r="F19" s="208"/>
      <c r="G19" s="209">
        <f t="shared" si="0"/>
        <v>-121322</v>
      </c>
      <c r="H19" s="210">
        <f t="shared" si="1"/>
        <v>-1</v>
      </c>
      <c r="I19" s="546"/>
      <c r="J19" s="208">
        <v>207747</v>
      </c>
      <c r="K19" s="208"/>
      <c r="L19" s="209">
        <f t="shared" si="2"/>
        <v>-207747</v>
      </c>
      <c r="M19" s="210">
        <f t="shared" si="3"/>
        <v>-1</v>
      </c>
      <c r="N19" s="541"/>
      <c r="O19" s="208">
        <v>207747</v>
      </c>
      <c r="P19" s="208"/>
      <c r="Q19" s="209">
        <f t="shared" si="4"/>
        <v>-207747</v>
      </c>
      <c r="R19" s="210">
        <f t="shared" si="5"/>
        <v>-1</v>
      </c>
      <c r="S19" s="541"/>
      <c r="T19" s="208">
        <v>207747</v>
      </c>
      <c r="U19" s="208"/>
      <c r="V19" s="209">
        <f t="shared" si="6"/>
        <v>-207747</v>
      </c>
      <c r="W19" s="210">
        <f t="shared" si="7"/>
        <v>-1</v>
      </c>
      <c r="X19" s="541"/>
    </row>
    <row r="20" spans="1:24" x14ac:dyDescent="0.25">
      <c r="A20" s="213">
        <v>53120</v>
      </c>
      <c r="B20" s="214" t="s">
        <v>412</v>
      </c>
      <c r="C20" s="208"/>
      <c r="D20" s="208"/>
      <c r="E20" s="208"/>
      <c r="F20" s="208"/>
      <c r="G20" s="209">
        <f t="shared" si="0"/>
        <v>0</v>
      </c>
      <c r="H20" s="210" t="str">
        <f t="shared" si="1"/>
        <v>-</v>
      </c>
      <c r="I20" s="546"/>
      <c r="J20" s="208"/>
      <c r="K20" s="208"/>
      <c r="L20" s="209">
        <f t="shared" si="2"/>
        <v>0</v>
      </c>
      <c r="M20" s="210" t="str">
        <f t="shared" si="3"/>
        <v>-</v>
      </c>
      <c r="N20" s="541"/>
      <c r="O20" s="208"/>
      <c r="P20" s="208"/>
      <c r="Q20" s="209">
        <f t="shared" si="4"/>
        <v>0</v>
      </c>
      <c r="R20" s="210" t="str">
        <f t="shared" si="5"/>
        <v>-</v>
      </c>
      <c r="S20" s="541"/>
      <c r="T20" s="208"/>
      <c r="U20" s="208"/>
      <c r="V20" s="209">
        <f t="shared" si="6"/>
        <v>0</v>
      </c>
      <c r="W20" s="210" t="str">
        <f t="shared" si="7"/>
        <v>-</v>
      </c>
      <c r="X20" s="541"/>
    </row>
    <row r="21" spans="1:24" x14ac:dyDescent="0.25">
      <c r="A21" s="213">
        <v>53200</v>
      </c>
      <c r="B21" s="214" t="s">
        <v>483</v>
      </c>
      <c r="C21" s="208"/>
      <c r="D21" s="208"/>
      <c r="E21" s="208"/>
      <c r="F21" s="208"/>
      <c r="G21" s="209">
        <f t="shared" si="0"/>
        <v>0</v>
      </c>
      <c r="H21" s="210" t="str">
        <f t="shared" si="1"/>
        <v>-</v>
      </c>
      <c r="I21" s="546"/>
      <c r="J21" s="208"/>
      <c r="K21" s="208"/>
      <c r="L21" s="209">
        <f t="shared" si="2"/>
        <v>0</v>
      </c>
      <c r="M21" s="210" t="str">
        <f t="shared" si="3"/>
        <v>-</v>
      </c>
      <c r="N21" s="541"/>
      <c r="O21" s="208"/>
      <c r="P21" s="208"/>
      <c r="Q21" s="209">
        <f t="shared" si="4"/>
        <v>0</v>
      </c>
      <c r="R21" s="210" t="str">
        <f t="shared" si="5"/>
        <v>-</v>
      </c>
      <c r="S21" s="541"/>
      <c r="T21" s="208"/>
      <c r="U21" s="208"/>
      <c r="V21" s="209">
        <f t="shared" si="6"/>
        <v>0</v>
      </c>
      <c r="W21" s="210" t="str">
        <f t="shared" si="7"/>
        <v>-</v>
      </c>
      <c r="X21" s="541"/>
    </row>
    <row r="22" spans="1:24" x14ac:dyDescent="0.25">
      <c r="A22" s="213">
        <v>53300</v>
      </c>
      <c r="B22" s="214" t="s">
        <v>484</v>
      </c>
      <c r="C22" s="208">
        <v>62780</v>
      </c>
      <c r="D22" s="208"/>
      <c r="E22" s="208"/>
      <c r="F22" s="208"/>
      <c r="G22" s="209">
        <f t="shared" si="0"/>
        <v>0</v>
      </c>
      <c r="H22" s="210" t="str">
        <f t="shared" si="1"/>
        <v>-</v>
      </c>
      <c r="I22" s="546"/>
      <c r="J22" s="208"/>
      <c r="K22" s="208"/>
      <c r="L22" s="209">
        <f t="shared" si="2"/>
        <v>0</v>
      </c>
      <c r="M22" s="210" t="str">
        <f t="shared" si="3"/>
        <v>-</v>
      </c>
      <c r="N22" s="541"/>
      <c r="O22" s="208"/>
      <c r="P22" s="208"/>
      <c r="Q22" s="209">
        <f t="shared" si="4"/>
        <v>0</v>
      </c>
      <c r="R22" s="210" t="str">
        <f t="shared" si="5"/>
        <v>-</v>
      </c>
      <c r="S22" s="541"/>
      <c r="T22" s="208"/>
      <c r="U22" s="208"/>
      <c r="V22" s="209">
        <f t="shared" si="6"/>
        <v>0</v>
      </c>
      <c r="W22" s="210" t="str">
        <f t="shared" si="7"/>
        <v>-</v>
      </c>
      <c r="X22" s="541"/>
    </row>
    <row r="23" spans="1:24" x14ac:dyDescent="0.25">
      <c r="A23" s="213">
        <v>53400</v>
      </c>
      <c r="B23" s="214" t="s">
        <v>485</v>
      </c>
      <c r="C23" s="208">
        <v>13637</v>
      </c>
      <c r="D23" s="208"/>
      <c r="E23" s="208"/>
      <c r="F23" s="208"/>
      <c r="G23" s="209">
        <f t="shared" si="0"/>
        <v>0</v>
      </c>
      <c r="H23" s="210" t="str">
        <f t="shared" si="1"/>
        <v>-</v>
      </c>
      <c r="I23" s="546"/>
      <c r="J23" s="208"/>
      <c r="K23" s="208"/>
      <c r="L23" s="209">
        <f t="shared" si="2"/>
        <v>0</v>
      </c>
      <c r="M23" s="210" t="str">
        <f t="shared" si="3"/>
        <v>-</v>
      </c>
      <c r="N23" s="541"/>
      <c r="O23" s="208"/>
      <c r="P23" s="208"/>
      <c r="Q23" s="209">
        <f t="shared" si="4"/>
        <v>0</v>
      </c>
      <c r="R23" s="210" t="str">
        <f t="shared" si="5"/>
        <v>-</v>
      </c>
      <c r="S23" s="541"/>
      <c r="T23" s="208"/>
      <c r="U23" s="208"/>
      <c r="V23" s="209">
        <f t="shared" si="6"/>
        <v>0</v>
      </c>
      <c r="W23" s="210" t="str">
        <f t="shared" si="7"/>
        <v>-</v>
      </c>
      <c r="X23" s="541"/>
    </row>
    <row r="24" spans="1:24" x14ac:dyDescent="0.25">
      <c r="A24" s="213"/>
      <c r="B24" s="214" t="s">
        <v>586</v>
      </c>
      <c r="C24" s="208"/>
      <c r="D24" s="208"/>
      <c r="E24" s="208"/>
      <c r="F24" s="208"/>
      <c r="G24" s="209"/>
      <c r="H24" s="210"/>
      <c r="I24" s="546"/>
      <c r="J24" s="208"/>
      <c r="K24" s="208"/>
      <c r="L24" s="209"/>
      <c r="M24" s="210"/>
      <c r="N24" s="541"/>
      <c r="O24" s="208"/>
      <c r="P24" s="208"/>
      <c r="Q24" s="209"/>
      <c r="R24" s="210"/>
      <c r="S24" s="541"/>
      <c r="T24" s="208"/>
      <c r="U24" s="208"/>
      <c r="V24" s="209"/>
      <c r="W24" s="210"/>
      <c r="X24" s="541"/>
    </row>
    <row r="25" spans="1:24" x14ac:dyDescent="0.25">
      <c r="A25" s="213">
        <v>53500</v>
      </c>
      <c r="B25" s="214" t="s">
        <v>486</v>
      </c>
      <c r="C25" s="208"/>
      <c r="D25" s="208"/>
      <c r="E25" s="208"/>
      <c r="F25" s="208"/>
      <c r="G25" s="209">
        <f t="shared" si="0"/>
        <v>0</v>
      </c>
      <c r="H25" s="210" t="str">
        <f t="shared" si="1"/>
        <v>-</v>
      </c>
      <c r="I25" s="546"/>
      <c r="J25" s="208"/>
      <c r="K25" s="208"/>
      <c r="L25" s="209">
        <f t="shared" si="2"/>
        <v>0</v>
      </c>
      <c r="M25" s="210" t="str">
        <f t="shared" si="3"/>
        <v>-</v>
      </c>
      <c r="N25" s="541"/>
      <c r="O25" s="208"/>
      <c r="P25" s="208"/>
      <c r="Q25" s="209">
        <f t="shared" si="4"/>
        <v>0</v>
      </c>
      <c r="R25" s="210" t="str">
        <f t="shared" si="5"/>
        <v>-</v>
      </c>
      <c r="S25" s="541"/>
      <c r="T25" s="208"/>
      <c r="U25" s="208"/>
      <c r="V25" s="209">
        <f t="shared" si="6"/>
        <v>0</v>
      </c>
      <c r="W25" s="210" t="str">
        <f t="shared" si="7"/>
        <v>-</v>
      </c>
      <c r="X25" s="541"/>
    </row>
    <row r="26" spans="1:24" ht="31.5" x14ac:dyDescent="0.25">
      <c r="A26" s="216">
        <v>53600</v>
      </c>
      <c r="B26" s="217" t="s">
        <v>487</v>
      </c>
      <c r="C26" s="208"/>
      <c r="D26" s="208"/>
      <c r="E26" s="208"/>
      <c r="F26" s="208"/>
      <c r="G26" s="209">
        <f t="shared" si="0"/>
        <v>0</v>
      </c>
      <c r="H26" s="210" t="str">
        <f t="shared" si="1"/>
        <v>-</v>
      </c>
      <c r="I26" s="546"/>
      <c r="J26" s="208"/>
      <c r="K26" s="208"/>
      <c r="L26" s="209">
        <f t="shared" si="2"/>
        <v>0</v>
      </c>
      <c r="M26" s="210" t="str">
        <f t="shared" si="3"/>
        <v>-</v>
      </c>
      <c r="N26" s="541"/>
      <c r="O26" s="208"/>
      <c r="P26" s="208"/>
      <c r="Q26" s="209">
        <f t="shared" si="4"/>
        <v>0</v>
      </c>
      <c r="R26" s="210" t="str">
        <f t="shared" si="5"/>
        <v>-</v>
      </c>
      <c r="S26" s="541"/>
      <c r="T26" s="208"/>
      <c r="U26" s="208"/>
      <c r="V26" s="209">
        <f t="shared" si="6"/>
        <v>0</v>
      </c>
      <c r="W26" s="210" t="str">
        <f t="shared" si="7"/>
        <v>-</v>
      </c>
      <c r="X26" s="541"/>
    </row>
    <row r="27" spans="1:24" x14ac:dyDescent="0.25">
      <c r="A27" s="189">
        <v>50000</v>
      </c>
      <c r="B27" s="183" t="s">
        <v>257</v>
      </c>
      <c r="C27" s="121">
        <v>1088687</v>
      </c>
      <c r="D27" s="121">
        <f ca="1">D3+D17+D9</f>
        <v>207747</v>
      </c>
      <c r="E27" s="121">
        <f ca="1">E3+E17+E9</f>
        <v>121322</v>
      </c>
      <c r="F27" s="121">
        <f ca="1">F3+F17+F9</f>
        <v>0</v>
      </c>
      <c r="G27" s="122">
        <f t="shared" ca="1" si="0"/>
        <v>-121322</v>
      </c>
      <c r="H27" s="30">
        <f t="shared" ca="1" si="1"/>
        <v>-1</v>
      </c>
      <c r="I27" s="495"/>
      <c r="J27" s="121">
        <f ca="1">J3+J17+J9</f>
        <v>207747</v>
      </c>
      <c r="K27" s="430">
        <f ca="1">K3+K17+K9</f>
        <v>0</v>
      </c>
      <c r="L27" s="122">
        <f t="shared" ca="1" si="2"/>
        <v>-207747</v>
      </c>
      <c r="M27" s="30">
        <f t="shared" ca="1" si="3"/>
        <v>-1</v>
      </c>
      <c r="N27" s="341"/>
      <c r="O27" s="121">
        <f ca="1">O3+O17+O9</f>
        <v>207747</v>
      </c>
      <c r="P27" s="121">
        <f ca="1">P3+P17+P9</f>
        <v>0</v>
      </c>
      <c r="Q27" s="122">
        <f t="shared" ca="1" si="4"/>
        <v>-207747</v>
      </c>
      <c r="R27" s="30">
        <f t="shared" ca="1" si="5"/>
        <v>-1</v>
      </c>
      <c r="S27" s="341"/>
      <c r="T27" s="121">
        <f ca="1">T3+T17+T9</f>
        <v>207747</v>
      </c>
      <c r="U27" s="121">
        <f ca="1">U3+U17+U9</f>
        <v>0</v>
      </c>
      <c r="V27" s="122">
        <f t="shared" ca="1" si="6"/>
        <v>-207747</v>
      </c>
      <c r="W27" s="30">
        <f t="shared" ca="1" si="7"/>
        <v>-1</v>
      </c>
      <c r="X27" s="341"/>
    </row>
    <row r="28" spans="1:24" x14ac:dyDescent="0.25">
      <c r="A28" s="275"/>
      <c r="B28" s="276"/>
      <c r="C28" s="277"/>
    </row>
    <row r="29" spans="1:24" x14ac:dyDescent="0.25">
      <c r="A29" s="31" t="s">
        <v>442</v>
      </c>
    </row>
    <row r="30" spans="1:24" x14ac:dyDescent="0.25">
      <c r="A30" s="529" t="s">
        <v>446</v>
      </c>
      <c r="B30" s="529"/>
      <c r="C30" s="529"/>
      <c r="D30" s="529"/>
      <c r="E30" s="529"/>
      <c r="F30" s="529"/>
      <c r="G30" s="529"/>
      <c r="H30" s="279"/>
      <c r="I30" s="279"/>
      <c r="J30" s="279"/>
    </row>
    <row r="31" spans="1:24" x14ac:dyDescent="0.25">
      <c r="A31" s="515" t="s">
        <v>406</v>
      </c>
      <c r="B31" s="515"/>
      <c r="C31" s="515"/>
      <c r="D31" s="515"/>
      <c r="E31" s="515"/>
    </row>
    <row r="32" spans="1:24" x14ac:dyDescent="0.25">
      <c r="A32" s="278"/>
      <c r="B32" s="278"/>
      <c r="C32" s="278"/>
      <c r="D32" s="278"/>
    </row>
  </sheetData>
  <sheetProtection formatColumns="0" formatRows="0" insertRows="0" deleteRows="0"/>
  <mergeCells count="14">
    <mergeCell ref="S17:S26"/>
    <mergeCell ref="X17:X26"/>
    <mergeCell ref="A30:G30"/>
    <mergeCell ref="A31:E31"/>
    <mergeCell ref="I3:I8"/>
    <mergeCell ref="I9:I16"/>
    <mergeCell ref="N3:N8"/>
    <mergeCell ref="S3:S8"/>
    <mergeCell ref="X3:X8"/>
    <mergeCell ref="N9:N16"/>
    <mergeCell ref="S9:S16"/>
    <mergeCell ref="X9:X16"/>
    <mergeCell ref="I17:I26"/>
    <mergeCell ref="N17:N26"/>
  </mergeCells>
  <phoneticPr fontId="50" type="noConversion"/>
  <pageMargins left="0.23622047244094491" right="0.23622047244094491" top="0.74803149606299213" bottom="0.74803149606299213" header="0.31496062992125984" footer="0.31496062992125984"/>
  <pageSetup paperSize="9" scale="32" orientation="landscape" r:id="rId1"/>
  <headerFooter>
    <oddHeader xml:space="preserve">&amp;C&amp;"Times New Roman,Bold"&amp;14Ieguldījumu tāme&amp;R&amp;"Times New Roman,Regular"&amp;14 6.pielikums
 </oddHeader>
    <oddFooter>&amp;C&amp;"Times New Roman,Regular"&amp;12&amp;F &amp;A&amp;R&amp;"Times New Roman,Regular"&amp;14&amp;P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Budžeta tāme</vt:lpstr>
      <vt:lpstr>PZ Aprēķins</vt:lpstr>
      <vt:lpstr>Bilance</vt:lpstr>
      <vt:lpstr>Naudas plūsma</vt:lpstr>
      <vt:lpstr>Naturālie rādītāji</vt:lpstr>
      <vt:lpstr>Ieguldījumu tāme</vt:lpstr>
      <vt:lpstr>'Naturālie rādītāji'!Drukas_apgabals</vt:lpstr>
      <vt:lpstr>'Budžeta tāme'!Drukāt_virsrakstus</vt:lpstr>
      <vt:lpstr>'Naturālie rādītāji'!Drukāt_virsrakstus</vt:lpstr>
      <vt:lpstr>'Naudas plūsma'!Drukāt_virsrakstus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Ieva Kļaviņa</cp:lastModifiedBy>
  <cp:lastPrinted>2023-07-19T05:36:30Z</cp:lastPrinted>
  <dcterms:created xsi:type="dcterms:W3CDTF">2015-06-08T06:33:04Z</dcterms:created>
  <dcterms:modified xsi:type="dcterms:W3CDTF">2023-07-19T10:05:22Z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