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traumas-my.sharepoint.com/personal/ieva_klavina_tos_lv/Documents/Dokumenti/Dokumenti/2023 gads/BUDŽETA PLĀNS/budžeta izpilde IV cet/"/>
    </mc:Choice>
  </mc:AlternateContent>
  <xr:revisionPtr revIDLastSave="575" documentId="13_ncr:1_{E4356F88-8958-4233-9718-3C5264F114A1}" xr6:coauthVersionLast="47" xr6:coauthVersionMax="47" xr10:uidLastSave="{8C7FEA13-88C0-4035-ACD9-A5E0411BB978}"/>
  <bookViews>
    <workbookView xWindow="28680" yWindow="-120" windowWidth="29040" windowHeight="15720" activeTab="3" xr2:uid="{00000000-000D-0000-FFFF-FFFF00000000}"/>
  </bookViews>
  <sheets>
    <sheet name="Budžeta tāme" sheetId="2" r:id="rId1"/>
    <sheet name="PZ Aprēķins" sheetId="12" r:id="rId2"/>
    <sheet name="Bilance" sheetId="11" r:id="rId3"/>
    <sheet name="Naudas plūsma" sheetId="5" r:id="rId4"/>
    <sheet name="Naturālie rādītāji" sheetId="10" r:id="rId5"/>
    <sheet name="Ieguldījumu tāme" sheetId="9" r:id="rId6"/>
    <sheet name="Kreditori, Debitori" sheetId="13" r:id="rId7"/>
  </sheets>
  <externalReferences>
    <externalReference r:id="rId8"/>
  </externalReferences>
  <definedNames>
    <definedName name="dff">#NAME?</definedName>
    <definedName name="_xlnm.Print_Area" localSheetId="5">'Ieguldījumu tāme'!#REF!</definedName>
    <definedName name="_xlnm.Print_Area" localSheetId="4">'Naturālie rādītāji'!$A$1:$X$105</definedName>
    <definedName name="_xlnm.Print_Titles" localSheetId="0">'Budžeta tāme'!#REF!</definedName>
    <definedName name="_xlnm.Print_Titles" localSheetId="4">'Naturālie rādītāji'!$1:$2</definedName>
    <definedName name="_xlnm.Print_Titles" localSheetId="3">'Naudas plūsma'!#REF!</definedName>
    <definedName name="_xlnm.Print_Titles" localSheetId="1">'PZ Aprēķins'!#REF!</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5" l="1"/>
  <c r="X63" i="2" l="1"/>
  <c r="X60" i="2"/>
  <c r="S63" i="2"/>
  <c r="S60" i="2"/>
  <c r="U164" i="2"/>
  <c r="U154" i="2"/>
  <c r="U146" i="2"/>
  <c r="U140" i="2"/>
  <c r="U130" i="2"/>
  <c r="U129" i="2"/>
  <c r="U119" i="2"/>
  <c r="U114" i="2"/>
  <c r="U109" i="2"/>
  <c r="U104" i="2"/>
  <c r="U103" i="2"/>
  <c r="U96" i="2"/>
  <c r="U90" i="2"/>
  <c r="U82" i="2"/>
  <c r="U74" i="2"/>
  <c r="U68" i="2"/>
  <c r="U66" i="2"/>
  <c r="U63" i="2"/>
  <c r="U60" i="2"/>
  <c r="U59" i="2" s="1"/>
  <c r="U58" i="2" s="1"/>
  <c r="U32" i="2" s="1"/>
  <c r="U144" i="2" s="1"/>
  <c r="U172" i="2" s="1"/>
  <c r="U52" i="2"/>
  <c r="U50" i="2"/>
  <c r="U39" i="2"/>
  <c r="U35" i="2"/>
  <c r="U34" i="2"/>
  <c r="U33" i="2"/>
  <c r="U22" i="2"/>
  <c r="U19" i="2"/>
  <c r="U3" i="2" s="1"/>
  <c r="U16" i="2"/>
  <c r="U13" i="2"/>
  <c r="U10" i="2"/>
  <c r="U5" i="2"/>
  <c r="U4" i="2"/>
  <c r="P164" i="2"/>
  <c r="P154" i="2"/>
  <c r="P146" i="2"/>
  <c r="P140" i="2"/>
  <c r="P130" i="2"/>
  <c r="P129" i="2"/>
  <c r="P119" i="2"/>
  <c r="P114" i="2"/>
  <c r="P109" i="2"/>
  <c r="P104" i="2"/>
  <c r="P103" i="2"/>
  <c r="P96" i="2"/>
  <c r="P90" i="2"/>
  <c r="P82" i="2"/>
  <c r="P74" i="2"/>
  <c r="P68" i="2"/>
  <c r="P66" i="2"/>
  <c r="P63" i="2"/>
  <c r="P60" i="2"/>
  <c r="P59" i="2" s="1"/>
  <c r="P58" i="2" s="1"/>
  <c r="P32" i="2" s="1"/>
  <c r="P144" i="2" s="1"/>
  <c r="P172" i="2" s="1"/>
  <c r="P52" i="2"/>
  <c r="P50" i="2"/>
  <c r="P39" i="2"/>
  <c r="P35" i="2"/>
  <c r="P34" i="2"/>
  <c r="P33" i="2"/>
  <c r="P22" i="2"/>
  <c r="P19" i="2"/>
  <c r="P3" i="2" s="1"/>
  <c r="P16" i="2"/>
  <c r="P13" i="2"/>
  <c r="P10" i="2"/>
  <c r="P5" i="2"/>
  <c r="P4" i="2"/>
  <c r="K164" i="2"/>
  <c r="K154" i="2"/>
  <c r="K146" i="2"/>
  <c r="K140" i="2"/>
  <c r="K130" i="2"/>
  <c r="K129" i="2"/>
  <c r="K119" i="2"/>
  <c r="K114" i="2"/>
  <c r="K109" i="2"/>
  <c r="K104" i="2"/>
  <c r="K103" i="2"/>
  <c r="K96" i="2"/>
  <c r="K90" i="2"/>
  <c r="K82" i="2"/>
  <c r="K74" i="2"/>
  <c r="K68" i="2"/>
  <c r="K66" i="2"/>
  <c r="K63" i="2"/>
  <c r="K60" i="2"/>
  <c r="K59" i="2" s="1"/>
  <c r="K58" i="2" s="1"/>
  <c r="K52" i="2"/>
  <c r="K50" i="2"/>
  <c r="K39" i="2"/>
  <c r="K35" i="2"/>
  <c r="K34" i="2" s="1"/>
  <c r="K33" i="2" s="1"/>
  <c r="K32" i="2" s="1"/>
  <c r="K144" i="2" s="1"/>
  <c r="K172" i="2" s="1"/>
  <c r="K22" i="2"/>
  <c r="K19" i="2"/>
  <c r="K3" i="2" s="1"/>
  <c r="K16" i="2"/>
  <c r="K13" i="2"/>
  <c r="K10" i="2"/>
  <c r="K5" i="2"/>
  <c r="K4" i="2"/>
  <c r="C170" i="2"/>
  <c r="C164" i="2"/>
  <c r="C162" i="2"/>
  <c r="C154" i="2" s="1"/>
  <c r="C146" i="2"/>
  <c r="C140" i="2"/>
  <c r="C137" i="2"/>
  <c r="C132" i="2"/>
  <c r="C130" i="2" s="1"/>
  <c r="C129" i="2" s="1"/>
  <c r="C119" i="2"/>
  <c r="C116" i="2"/>
  <c r="C115" i="2"/>
  <c r="C114" i="2"/>
  <c r="C103" i="2" s="1"/>
  <c r="C109" i="2"/>
  <c r="C104" i="2"/>
  <c r="C96" i="2"/>
  <c r="C90" i="2"/>
  <c r="C87" i="2"/>
  <c r="C82" i="2"/>
  <c r="C81" i="2"/>
  <c r="C74" i="2"/>
  <c r="C68" i="2"/>
  <c r="C66" i="2"/>
  <c r="C63" i="2"/>
  <c r="C59" i="2" s="1"/>
  <c r="C60" i="2"/>
  <c r="C52" i="2"/>
  <c r="C50" i="2"/>
  <c r="C39" i="2"/>
  <c r="C38" i="2"/>
  <c r="C35" i="2"/>
  <c r="C34" i="2"/>
  <c r="C33" i="2" s="1"/>
  <c r="C31" i="2"/>
  <c r="C23" i="2"/>
  <c r="C22" i="2"/>
  <c r="C19" i="2"/>
  <c r="C3" i="2" s="1"/>
  <c r="C16" i="2"/>
  <c r="C14" i="2"/>
  <c r="C13" i="2"/>
  <c r="C10" i="2"/>
  <c r="C5" i="2"/>
  <c r="C4" i="2"/>
  <c r="U19" i="10"/>
  <c r="U18" i="10"/>
  <c r="V40" i="10"/>
  <c r="W40" i="10" s="1"/>
  <c r="L40" i="10"/>
  <c r="M40" i="10" s="1"/>
  <c r="G40" i="10"/>
  <c r="H40" i="10" s="1"/>
  <c r="W39" i="10"/>
  <c r="V39" i="10"/>
  <c r="L39" i="10"/>
  <c r="M39" i="10" s="1"/>
  <c r="G39" i="10"/>
  <c r="H39" i="10" s="1"/>
  <c r="W38" i="10"/>
  <c r="V38" i="10"/>
  <c r="L38" i="10"/>
  <c r="M38" i="10" s="1"/>
  <c r="G38" i="10"/>
  <c r="H38" i="10" s="1"/>
  <c r="W37" i="10"/>
  <c r="V37" i="10"/>
  <c r="L37" i="10"/>
  <c r="M37" i="10" s="1"/>
  <c r="G37" i="10"/>
  <c r="H37" i="10" s="1"/>
  <c r="W36" i="10"/>
  <c r="V36" i="10"/>
  <c r="L36" i="10"/>
  <c r="M36" i="10" s="1"/>
  <c r="G36" i="10"/>
  <c r="H36" i="10" s="1"/>
  <c r="W35" i="10"/>
  <c r="V35" i="10"/>
  <c r="L35" i="10"/>
  <c r="M35" i="10" s="1"/>
  <c r="G35" i="10"/>
  <c r="H35" i="10" s="1"/>
  <c r="W34" i="10"/>
  <c r="V34" i="10"/>
  <c r="L34" i="10"/>
  <c r="M34" i="10" s="1"/>
  <c r="G34" i="10"/>
  <c r="H34" i="10" s="1"/>
  <c r="W33" i="10"/>
  <c r="V33" i="10"/>
  <c r="L33" i="10"/>
  <c r="M33" i="10" s="1"/>
  <c r="G33" i="10"/>
  <c r="H33" i="10" s="1"/>
  <c r="U32" i="10"/>
  <c r="V32" i="10" s="1"/>
  <c r="W32" i="10" s="1"/>
  <c r="L32" i="10"/>
  <c r="M32" i="10" s="1"/>
  <c r="G32" i="10"/>
  <c r="H32" i="10" s="1"/>
  <c r="V30" i="10"/>
  <c r="W30" i="10" s="1"/>
  <c r="L30" i="10"/>
  <c r="M30" i="10" s="1"/>
  <c r="H30" i="10"/>
  <c r="G30" i="10"/>
  <c r="V29" i="10"/>
  <c r="W29" i="10" s="1"/>
  <c r="L29" i="10"/>
  <c r="M29" i="10" s="1"/>
  <c r="G29" i="10"/>
  <c r="H29" i="10" s="1"/>
  <c r="V28" i="10"/>
  <c r="W28" i="10" s="1"/>
  <c r="L28" i="10"/>
  <c r="M28" i="10" s="1"/>
  <c r="H28" i="10"/>
  <c r="G28" i="10"/>
  <c r="V27" i="10"/>
  <c r="W27" i="10" s="1"/>
  <c r="L27" i="10"/>
  <c r="M27" i="10" s="1"/>
  <c r="G27" i="10"/>
  <c r="H27" i="10" s="1"/>
  <c r="V26" i="10"/>
  <c r="W26" i="10" s="1"/>
  <c r="L26" i="10"/>
  <c r="M26" i="10" s="1"/>
  <c r="H26" i="10"/>
  <c r="G26" i="10"/>
  <c r="V25" i="10"/>
  <c r="W25" i="10" s="1"/>
  <c r="L25" i="10"/>
  <c r="M25" i="10" s="1"/>
  <c r="G25" i="10"/>
  <c r="H25" i="10" s="1"/>
  <c r="V24" i="10"/>
  <c r="W24" i="10" s="1"/>
  <c r="L24" i="10"/>
  <c r="M24" i="10" s="1"/>
  <c r="H24" i="10"/>
  <c r="G24" i="10"/>
  <c r="V23" i="10"/>
  <c r="W23" i="10" s="1"/>
  <c r="L23" i="10"/>
  <c r="M23" i="10" s="1"/>
  <c r="G23" i="10"/>
  <c r="H23" i="10" s="1"/>
  <c r="V22" i="10"/>
  <c r="W22" i="10" s="1"/>
  <c r="L22" i="10"/>
  <c r="M22" i="10" s="1"/>
  <c r="H22" i="10"/>
  <c r="G22" i="10"/>
  <c r="V21" i="10"/>
  <c r="W21" i="10" s="1"/>
  <c r="L21" i="10"/>
  <c r="M21" i="10" s="1"/>
  <c r="G21" i="10"/>
  <c r="H21" i="10" s="1"/>
  <c r="V20" i="10"/>
  <c r="W20" i="10" s="1"/>
  <c r="L20" i="10"/>
  <c r="M20" i="10" s="1"/>
  <c r="H20" i="10"/>
  <c r="G20" i="10"/>
  <c r="T19" i="10"/>
  <c r="V19" i="10" s="1"/>
  <c r="W19" i="10" s="1"/>
  <c r="P19" i="10"/>
  <c r="Q19" i="10" s="1"/>
  <c r="R19" i="10" s="1"/>
  <c r="O19" i="10"/>
  <c r="J19" i="10"/>
  <c r="L19" i="10" s="1"/>
  <c r="M19" i="10" s="1"/>
  <c r="H19" i="10"/>
  <c r="G19" i="10"/>
  <c r="E19" i="10"/>
  <c r="D19" i="10"/>
  <c r="T18" i="10"/>
  <c r="V18" i="10" s="1"/>
  <c r="W18" i="10" s="1"/>
  <c r="P18" i="10"/>
  <c r="Q18" i="10" s="1"/>
  <c r="R18" i="10" s="1"/>
  <c r="O18" i="10"/>
  <c r="L18" i="10"/>
  <c r="M18" i="10" s="1"/>
  <c r="J18" i="10"/>
  <c r="E18" i="10"/>
  <c r="G18" i="10" s="1"/>
  <c r="H18" i="10" s="1"/>
  <c r="D18" i="10"/>
  <c r="V17" i="10"/>
  <c r="W17" i="10" s="1"/>
  <c r="L17" i="10"/>
  <c r="M17" i="10" s="1"/>
  <c r="G17" i="10"/>
  <c r="H17" i="10" s="1"/>
  <c r="W16" i="10"/>
  <c r="V16" i="10"/>
  <c r="L16" i="10"/>
  <c r="M16" i="10" s="1"/>
  <c r="G16" i="10"/>
  <c r="H16" i="10" s="1"/>
  <c r="L14" i="10"/>
  <c r="M14" i="10" s="1"/>
  <c r="G14" i="10"/>
  <c r="H14" i="10" s="1"/>
  <c r="C14" i="10"/>
  <c r="V13" i="10"/>
  <c r="W13" i="10" s="1"/>
  <c r="L13" i="10"/>
  <c r="M13" i="10" s="1"/>
  <c r="G13" i="10"/>
  <c r="H13" i="10" s="1"/>
  <c r="V12" i="10"/>
  <c r="W12" i="10" s="1"/>
  <c r="L12" i="10"/>
  <c r="M12" i="10" s="1"/>
  <c r="H12" i="10"/>
  <c r="G12" i="10"/>
  <c r="U11" i="10"/>
  <c r="V11" i="10" s="1"/>
  <c r="W11" i="10" s="1"/>
  <c r="L11" i="10"/>
  <c r="M11" i="10" s="1"/>
  <c r="H11" i="10"/>
  <c r="G11" i="10"/>
  <c r="V10" i="10"/>
  <c r="W10" i="10" s="1"/>
  <c r="L10" i="10"/>
  <c r="M10" i="10" s="1"/>
  <c r="H10" i="10"/>
  <c r="G10" i="10"/>
  <c r="V9" i="10"/>
  <c r="W9" i="10" s="1"/>
  <c r="L9" i="10"/>
  <c r="M9" i="10" s="1"/>
  <c r="H9" i="10"/>
  <c r="G9" i="10"/>
  <c r="V8" i="10"/>
  <c r="W8" i="10" s="1"/>
  <c r="L8" i="10"/>
  <c r="M8" i="10" s="1"/>
  <c r="H8" i="10"/>
  <c r="G8" i="10"/>
  <c r="V7" i="10"/>
  <c r="W7" i="10" s="1"/>
  <c r="L7" i="10"/>
  <c r="M7" i="10" s="1"/>
  <c r="H7" i="10"/>
  <c r="G7" i="10"/>
  <c r="V6" i="10"/>
  <c r="W6" i="10" s="1"/>
  <c r="L6" i="10"/>
  <c r="M6" i="10" s="1"/>
  <c r="H6" i="10"/>
  <c r="G6" i="10"/>
  <c r="U5" i="10"/>
  <c r="V5" i="10" s="1"/>
  <c r="W5" i="10" s="1"/>
  <c r="L5" i="10"/>
  <c r="M5" i="10" s="1"/>
  <c r="G5" i="10"/>
  <c r="H5" i="10" s="1"/>
  <c r="U163" i="2" l="1"/>
  <c r="U145" i="2"/>
  <c r="U153" i="2" s="1"/>
  <c r="U173" i="2" s="1"/>
  <c r="P163" i="2"/>
  <c r="P145" i="2"/>
  <c r="P153" i="2" s="1"/>
  <c r="P173" i="2" s="1"/>
  <c r="K163" i="2"/>
  <c r="K145" i="2"/>
  <c r="K153" i="2" s="1"/>
  <c r="K173" i="2" s="1"/>
  <c r="C58" i="2"/>
  <c r="C163" i="2"/>
  <c r="C32" i="2"/>
  <c r="C144" i="2" s="1"/>
  <c r="C172" i="2" s="1"/>
  <c r="U14" i="10"/>
  <c r="V14" i="10" s="1"/>
  <c r="W14" i="10" s="1"/>
  <c r="C145" i="2" l="1"/>
  <c r="C153" i="2" s="1"/>
  <c r="C173" i="2" s="1"/>
  <c r="C101" i="13"/>
  <c r="C96" i="13"/>
  <c r="C82" i="13"/>
  <c r="C76" i="13"/>
  <c r="C66" i="13"/>
  <c r="C61" i="13"/>
  <c r="C55" i="13"/>
  <c r="E46" i="13"/>
  <c r="D46" i="13"/>
  <c r="C46" i="13"/>
  <c r="C36" i="13"/>
  <c r="C27" i="13" s="1"/>
  <c r="C3" i="13" s="1"/>
  <c r="C23" i="13"/>
  <c r="C13" i="13"/>
  <c r="C4" i="13"/>
  <c r="V37" i="9"/>
  <c r="W37" i="9" s="1"/>
  <c r="Q37" i="9"/>
  <c r="R37" i="9" s="1"/>
  <c r="L37" i="9"/>
  <c r="M37" i="9" s="1"/>
  <c r="H37" i="9"/>
  <c r="G37" i="9"/>
  <c r="V36" i="9"/>
  <c r="W36" i="9" s="1"/>
  <c r="Q36" i="9"/>
  <c r="R36" i="9" s="1"/>
  <c r="L36" i="9"/>
  <c r="M36" i="9" s="1"/>
  <c r="G36" i="9"/>
  <c r="H36" i="9" s="1"/>
  <c r="U34" i="9"/>
  <c r="U33" i="9"/>
  <c r="U31" i="9" s="1"/>
  <c r="V31" i="9" s="1"/>
  <c r="W31" i="9" s="1"/>
  <c r="R33" i="9"/>
  <c r="Q33" i="9"/>
  <c r="K33" i="9"/>
  <c r="Q32" i="9"/>
  <c r="R32" i="9" s="1"/>
  <c r="Q31" i="9"/>
  <c r="R31" i="9" s="1"/>
  <c r="L31" i="9"/>
  <c r="M31" i="9" s="1"/>
  <c r="K31" i="9"/>
  <c r="F31" i="9"/>
  <c r="G31" i="9" s="1"/>
  <c r="H31" i="9" s="1"/>
  <c r="U30" i="9"/>
  <c r="U28" i="9"/>
  <c r="V28" i="9" s="1"/>
  <c r="W28" i="9" s="1"/>
  <c r="Q28" i="9"/>
  <c r="R28" i="9" s="1"/>
  <c r="L28" i="9"/>
  <c r="M28" i="9" s="1"/>
  <c r="K28" i="9"/>
  <c r="F28" i="9"/>
  <c r="G28" i="9" s="1"/>
  <c r="H28" i="9" s="1"/>
  <c r="V27" i="9"/>
  <c r="W27" i="9" s="1"/>
  <c r="Q27" i="9"/>
  <c r="R27" i="9" s="1"/>
  <c r="L27" i="9"/>
  <c r="M27" i="9" s="1"/>
  <c r="G27" i="9"/>
  <c r="H27" i="9" s="1"/>
  <c r="W26" i="9"/>
  <c r="V26" i="9"/>
  <c r="U26" i="9"/>
  <c r="Q26" i="9"/>
  <c r="R26" i="9" s="1"/>
  <c r="K26" i="9"/>
  <c r="L26" i="9" s="1"/>
  <c r="M26" i="9" s="1"/>
  <c r="G26" i="9"/>
  <c r="H26" i="9" s="1"/>
  <c r="U25" i="9"/>
  <c r="U19" i="9" s="1"/>
  <c r="Q19" i="9"/>
  <c r="R19" i="9" s="1"/>
  <c r="F19" i="9"/>
  <c r="K19" i="9" s="1"/>
  <c r="T18" i="9"/>
  <c r="O18" i="9"/>
  <c r="Q18" i="9" s="1"/>
  <c r="R18" i="9" s="1"/>
  <c r="J18" i="9"/>
  <c r="J17" i="9" s="1"/>
  <c r="F18" i="9"/>
  <c r="F17" i="9" s="1"/>
  <c r="G17" i="9" s="1"/>
  <c r="H17" i="9" s="1"/>
  <c r="E18" i="9"/>
  <c r="D18" i="9"/>
  <c r="T17" i="9"/>
  <c r="P17" i="9"/>
  <c r="O17" i="9"/>
  <c r="E17" i="9"/>
  <c r="D17" i="9"/>
  <c r="V16" i="9"/>
  <c r="W16" i="9" s="1"/>
  <c r="Q16" i="9"/>
  <c r="R16" i="9" s="1"/>
  <c r="M16" i="9"/>
  <c r="L16" i="9"/>
  <c r="H16" i="9"/>
  <c r="G16" i="9"/>
  <c r="V15" i="9"/>
  <c r="W15" i="9" s="1"/>
  <c r="Q15" i="9"/>
  <c r="R15" i="9" s="1"/>
  <c r="L15" i="9"/>
  <c r="M15" i="9" s="1"/>
  <c r="G15" i="9"/>
  <c r="H15" i="9" s="1"/>
  <c r="W14" i="9"/>
  <c r="V14" i="9"/>
  <c r="R14" i="9"/>
  <c r="Q14" i="9"/>
  <c r="L14" i="9"/>
  <c r="M14" i="9" s="1"/>
  <c r="G14" i="9"/>
  <c r="H14" i="9" s="1"/>
  <c r="V13" i="9"/>
  <c r="W13" i="9" s="1"/>
  <c r="Q13" i="9"/>
  <c r="R13" i="9" s="1"/>
  <c r="M13" i="9"/>
  <c r="L13" i="9"/>
  <c r="H13" i="9"/>
  <c r="G13" i="9"/>
  <c r="V12" i="9"/>
  <c r="W12" i="9" s="1"/>
  <c r="Q12" i="9"/>
  <c r="R12" i="9" s="1"/>
  <c r="L12" i="9"/>
  <c r="M12" i="9" s="1"/>
  <c r="G12" i="9"/>
  <c r="H12" i="9" s="1"/>
  <c r="W11" i="9"/>
  <c r="V11" i="9"/>
  <c r="R11" i="9"/>
  <c r="Q11" i="9"/>
  <c r="K11" i="9"/>
  <c r="L11" i="9" s="1"/>
  <c r="M11" i="9" s="1"/>
  <c r="G11" i="9"/>
  <c r="H11" i="9" s="1"/>
  <c r="V10" i="9"/>
  <c r="W10" i="9" s="1"/>
  <c r="Q10" i="9"/>
  <c r="R10" i="9" s="1"/>
  <c r="K10" i="9"/>
  <c r="L10" i="9" s="1"/>
  <c r="M10" i="9" s="1"/>
  <c r="G10" i="9"/>
  <c r="H10" i="9" s="1"/>
  <c r="U9" i="9"/>
  <c r="T9" i="9"/>
  <c r="P9" i="9"/>
  <c r="O9" i="9"/>
  <c r="J9" i="9"/>
  <c r="F9" i="9"/>
  <c r="E9" i="9"/>
  <c r="D9" i="9"/>
  <c r="V8" i="9"/>
  <c r="W8" i="9" s="1"/>
  <c r="R8" i="9"/>
  <c r="Q8" i="9"/>
  <c r="L8" i="9"/>
  <c r="M8" i="9" s="1"/>
  <c r="G8" i="9"/>
  <c r="H8" i="9" s="1"/>
  <c r="V6" i="9"/>
  <c r="W6" i="9" s="1"/>
  <c r="Q6" i="9"/>
  <c r="R6" i="9" s="1"/>
  <c r="L6" i="9"/>
  <c r="M6" i="9" s="1"/>
  <c r="H6" i="9"/>
  <c r="G6" i="9"/>
  <c r="V5" i="9"/>
  <c r="W5" i="9" s="1"/>
  <c r="Q5" i="9"/>
  <c r="R5" i="9" s="1"/>
  <c r="L5" i="9"/>
  <c r="M5" i="9" s="1"/>
  <c r="G5" i="9"/>
  <c r="H5" i="9" s="1"/>
  <c r="V4" i="9"/>
  <c r="W4" i="9" s="1"/>
  <c r="R4" i="9"/>
  <c r="Q4" i="9"/>
  <c r="L4" i="9"/>
  <c r="M4" i="9" s="1"/>
  <c r="G4" i="9"/>
  <c r="H4" i="9" s="1"/>
  <c r="U3" i="9"/>
  <c r="T3" i="9"/>
  <c r="Q3" i="9"/>
  <c r="R3" i="9" s="1"/>
  <c r="P3" i="9"/>
  <c r="O3" i="9"/>
  <c r="K3" i="9"/>
  <c r="L3" i="9" s="1"/>
  <c r="M3" i="9" s="1"/>
  <c r="J3" i="9"/>
  <c r="F3" i="9"/>
  <c r="G3" i="9" s="1"/>
  <c r="H3" i="9" s="1"/>
  <c r="E3" i="9"/>
  <c r="D3" i="9"/>
  <c r="V54" i="5"/>
  <c r="W54" i="5" s="1"/>
  <c r="Q54" i="5"/>
  <c r="R54" i="5" s="1"/>
  <c r="L54" i="5"/>
  <c r="M54" i="5" s="1"/>
  <c r="G54" i="5"/>
  <c r="H54" i="5" s="1"/>
  <c r="V53" i="5"/>
  <c r="W53" i="5" s="1"/>
  <c r="Q53" i="5"/>
  <c r="R53" i="5" s="1"/>
  <c r="L53" i="5"/>
  <c r="M53" i="5" s="1"/>
  <c r="G53" i="5"/>
  <c r="H53" i="5" s="1"/>
  <c r="U52" i="5"/>
  <c r="V52" i="5" s="1"/>
  <c r="W52" i="5" s="1"/>
  <c r="R52" i="5"/>
  <c r="Q52" i="5"/>
  <c r="L52" i="5"/>
  <c r="M52" i="5" s="1"/>
  <c r="H52" i="5"/>
  <c r="G52" i="5"/>
  <c r="V51" i="5"/>
  <c r="W51" i="5" s="1"/>
  <c r="Q51" i="5"/>
  <c r="R51" i="5" s="1"/>
  <c r="L51" i="5"/>
  <c r="M51" i="5" s="1"/>
  <c r="H51" i="5"/>
  <c r="G51" i="5"/>
  <c r="V50" i="5"/>
  <c r="W50" i="5" s="1"/>
  <c r="R50" i="5"/>
  <c r="Q50" i="5"/>
  <c r="L50" i="5"/>
  <c r="M50" i="5" s="1"/>
  <c r="G50" i="5"/>
  <c r="H50" i="5" s="1"/>
  <c r="V49" i="5"/>
  <c r="W49" i="5" s="1"/>
  <c r="R49" i="5"/>
  <c r="Q49" i="5"/>
  <c r="L49" i="5"/>
  <c r="M49" i="5" s="1"/>
  <c r="H49" i="5"/>
  <c r="G49" i="5"/>
  <c r="V48" i="5"/>
  <c r="W48" i="5" s="1"/>
  <c r="Q48" i="5"/>
  <c r="R48" i="5" s="1"/>
  <c r="L48" i="5"/>
  <c r="M48" i="5" s="1"/>
  <c r="H48" i="5"/>
  <c r="G48" i="5"/>
  <c r="J47" i="5"/>
  <c r="L47" i="5" s="1"/>
  <c r="M47" i="5" s="1"/>
  <c r="V46" i="5"/>
  <c r="W46" i="5" s="1"/>
  <c r="Q46" i="5"/>
  <c r="R46" i="5" s="1"/>
  <c r="L46" i="5"/>
  <c r="M46" i="5" s="1"/>
  <c r="G46" i="5"/>
  <c r="H46" i="5" s="1"/>
  <c r="V45" i="5"/>
  <c r="W45" i="5" s="1"/>
  <c r="Q45" i="5"/>
  <c r="R45" i="5" s="1"/>
  <c r="L45" i="5"/>
  <c r="M45" i="5" s="1"/>
  <c r="G45" i="5"/>
  <c r="H45" i="5" s="1"/>
  <c r="U44" i="5"/>
  <c r="V44" i="5" s="1"/>
  <c r="W44" i="5" s="1"/>
  <c r="T44" i="5"/>
  <c r="P44" i="5"/>
  <c r="Q44" i="5" s="1"/>
  <c r="R44" i="5" s="1"/>
  <c r="C44" i="5"/>
  <c r="W43" i="5"/>
  <c r="V43" i="5"/>
  <c r="Q43" i="5"/>
  <c r="R43" i="5" s="1"/>
  <c r="M43" i="5"/>
  <c r="L43" i="5"/>
  <c r="G43" i="5"/>
  <c r="H43" i="5" s="1"/>
  <c r="V42" i="5"/>
  <c r="W42" i="5" s="1"/>
  <c r="Q42" i="5"/>
  <c r="R42" i="5" s="1"/>
  <c r="M42" i="5"/>
  <c r="L42" i="5"/>
  <c r="G42" i="5"/>
  <c r="H42" i="5" s="1"/>
  <c r="W41" i="5"/>
  <c r="V41" i="5"/>
  <c r="Q41" i="5"/>
  <c r="R41" i="5" s="1"/>
  <c r="L41" i="5"/>
  <c r="M41" i="5" s="1"/>
  <c r="G41" i="5"/>
  <c r="H41" i="5" s="1"/>
  <c r="U40" i="5"/>
  <c r="V40" i="5" s="1"/>
  <c r="W40" i="5" s="1"/>
  <c r="T40" i="5"/>
  <c r="P40" i="5"/>
  <c r="Q40" i="5" s="1"/>
  <c r="R40" i="5" s="1"/>
  <c r="J40" i="5"/>
  <c r="L40" i="5" s="1"/>
  <c r="M40" i="5" s="1"/>
  <c r="E40" i="5"/>
  <c r="G40" i="5" s="1"/>
  <c r="H40" i="5" s="1"/>
  <c r="D40" i="5"/>
  <c r="C40" i="5"/>
  <c r="V39" i="5"/>
  <c r="W39" i="5" s="1"/>
  <c r="Q39" i="5"/>
  <c r="R39" i="5" s="1"/>
  <c r="L39" i="5"/>
  <c r="M39" i="5" s="1"/>
  <c r="G39" i="5"/>
  <c r="H39" i="5" s="1"/>
  <c r="V38" i="5"/>
  <c r="W38" i="5" s="1"/>
  <c r="Q38" i="5"/>
  <c r="R38" i="5" s="1"/>
  <c r="L38" i="5"/>
  <c r="M38" i="5" s="1"/>
  <c r="G38" i="5"/>
  <c r="H38" i="5" s="1"/>
  <c r="V37" i="5"/>
  <c r="W37" i="5" s="1"/>
  <c r="Q37" i="5"/>
  <c r="R37" i="5" s="1"/>
  <c r="L37" i="5"/>
  <c r="M37" i="5" s="1"/>
  <c r="G37" i="5"/>
  <c r="H37" i="5" s="1"/>
  <c r="V36" i="5"/>
  <c r="W36" i="5" s="1"/>
  <c r="U36" i="5"/>
  <c r="T36" i="5"/>
  <c r="P36" i="5"/>
  <c r="Q36" i="5" s="1"/>
  <c r="R36" i="5" s="1"/>
  <c r="J36" i="5"/>
  <c r="L36" i="5" s="1"/>
  <c r="M36" i="5" s="1"/>
  <c r="E36" i="5"/>
  <c r="E44" i="5" s="1"/>
  <c r="G44" i="5" s="1"/>
  <c r="H44" i="5" s="1"/>
  <c r="D36" i="5"/>
  <c r="D44" i="5" s="1"/>
  <c r="C36" i="5"/>
  <c r="W35" i="5"/>
  <c r="R35" i="5"/>
  <c r="M35" i="5"/>
  <c r="H35" i="5"/>
  <c r="P34" i="5"/>
  <c r="Q34" i="5" s="1"/>
  <c r="R34" i="5" s="1"/>
  <c r="D34" i="5"/>
  <c r="V33" i="5"/>
  <c r="W33" i="5" s="1"/>
  <c r="Q33" i="5"/>
  <c r="R33" i="5" s="1"/>
  <c r="L33" i="5"/>
  <c r="M33" i="5" s="1"/>
  <c r="G33" i="5"/>
  <c r="H33" i="5" s="1"/>
  <c r="V32" i="5"/>
  <c r="W32" i="5" s="1"/>
  <c r="Q32" i="5"/>
  <c r="R32" i="5" s="1"/>
  <c r="L32" i="5"/>
  <c r="M32" i="5" s="1"/>
  <c r="G32" i="5"/>
  <c r="H32" i="5" s="1"/>
  <c r="V31" i="5"/>
  <c r="W31" i="5" s="1"/>
  <c r="U31" i="5"/>
  <c r="Q31" i="5"/>
  <c r="R31" i="5" s="1"/>
  <c r="L31" i="5"/>
  <c r="M31" i="5" s="1"/>
  <c r="H31" i="5"/>
  <c r="G31" i="5"/>
  <c r="V30" i="5"/>
  <c r="W30" i="5" s="1"/>
  <c r="R30" i="5"/>
  <c r="Q30" i="5"/>
  <c r="M30" i="5"/>
  <c r="L30" i="5"/>
  <c r="G30" i="5"/>
  <c r="H30" i="5" s="1"/>
  <c r="U29" i="5"/>
  <c r="U27" i="5" s="1"/>
  <c r="Q29" i="5"/>
  <c r="R29" i="5" s="1"/>
  <c r="L29" i="5"/>
  <c r="M29" i="5" s="1"/>
  <c r="G29" i="5"/>
  <c r="H29" i="5" s="1"/>
  <c r="C29" i="5"/>
  <c r="V28" i="5"/>
  <c r="W28" i="5" s="1"/>
  <c r="Q28" i="5"/>
  <c r="R28" i="5" s="1"/>
  <c r="M28" i="5"/>
  <c r="L28" i="5"/>
  <c r="G28" i="5"/>
  <c r="H28" i="5" s="1"/>
  <c r="P27" i="5"/>
  <c r="Q27" i="5" s="1"/>
  <c r="R27" i="5" s="1"/>
  <c r="J27" i="5"/>
  <c r="L27" i="5" s="1"/>
  <c r="M27" i="5" s="1"/>
  <c r="E27" i="5"/>
  <c r="E34" i="5" s="1"/>
  <c r="G34" i="5" s="1"/>
  <c r="H34" i="5" s="1"/>
  <c r="C27" i="5"/>
  <c r="C34" i="5" s="1"/>
  <c r="V26" i="5"/>
  <c r="W26" i="5" s="1"/>
  <c r="Q26" i="5"/>
  <c r="R26" i="5" s="1"/>
  <c r="L26" i="5"/>
  <c r="M26" i="5" s="1"/>
  <c r="G26" i="5"/>
  <c r="H26" i="5" s="1"/>
  <c r="V25" i="5"/>
  <c r="W25" i="5" s="1"/>
  <c r="Q25" i="5"/>
  <c r="R25" i="5" s="1"/>
  <c r="L25" i="5"/>
  <c r="M25" i="5" s="1"/>
  <c r="G25" i="5"/>
  <c r="H25" i="5" s="1"/>
  <c r="V24" i="5"/>
  <c r="W24" i="5" s="1"/>
  <c r="Q24" i="5"/>
  <c r="R24" i="5" s="1"/>
  <c r="L24" i="5"/>
  <c r="M24" i="5" s="1"/>
  <c r="G24" i="5"/>
  <c r="H24" i="5" s="1"/>
  <c r="V23" i="5"/>
  <c r="W23" i="5" s="1"/>
  <c r="Q23" i="5"/>
  <c r="R23" i="5" s="1"/>
  <c r="L23" i="5"/>
  <c r="M23" i="5" s="1"/>
  <c r="G23" i="5"/>
  <c r="H23" i="5" s="1"/>
  <c r="V22" i="5"/>
  <c r="W22" i="5" s="1"/>
  <c r="Q22" i="5"/>
  <c r="R22" i="5" s="1"/>
  <c r="L22" i="5"/>
  <c r="M22" i="5" s="1"/>
  <c r="G22" i="5"/>
  <c r="H22" i="5" s="1"/>
  <c r="U21" i="5"/>
  <c r="V21" i="5" s="1"/>
  <c r="W21" i="5" s="1"/>
  <c r="T21" i="5"/>
  <c r="T34" i="5" s="1"/>
  <c r="P21" i="5"/>
  <c r="Q21" i="5" s="1"/>
  <c r="R21" i="5" s="1"/>
  <c r="J21" i="5"/>
  <c r="L21" i="5" s="1"/>
  <c r="M21" i="5" s="1"/>
  <c r="E21" i="5"/>
  <c r="G21" i="5" s="1"/>
  <c r="H21" i="5" s="1"/>
  <c r="D21" i="5"/>
  <c r="C21" i="5"/>
  <c r="W20" i="5"/>
  <c r="R20" i="5"/>
  <c r="M20" i="5"/>
  <c r="H20" i="5"/>
  <c r="U18" i="5"/>
  <c r="V18" i="5" s="1"/>
  <c r="W18" i="5" s="1"/>
  <c r="T18" i="5"/>
  <c r="Q18" i="5"/>
  <c r="R18" i="5" s="1"/>
  <c r="P18" i="5"/>
  <c r="J18" i="5"/>
  <c r="J16" i="5" s="1"/>
  <c r="L16" i="5" s="1"/>
  <c r="M16" i="5" s="1"/>
  <c r="G18" i="5"/>
  <c r="H18" i="5" s="1"/>
  <c r="E18" i="5"/>
  <c r="D18" i="5"/>
  <c r="C18" i="5"/>
  <c r="U16" i="5"/>
  <c r="V16" i="5" s="1"/>
  <c r="W16" i="5" s="1"/>
  <c r="Q17" i="5"/>
  <c r="R17" i="5" s="1"/>
  <c r="L17" i="5"/>
  <c r="M17" i="5" s="1"/>
  <c r="J17" i="5"/>
  <c r="H17" i="5"/>
  <c r="G17" i="5"/>
  <c r="T16" i="5"/>
  <c r="P16" i="5"/>
  <c r="Q16" i="5" s="1"/>
  <c r="R16" i="5" s="1"/>
  <c r="E16" i="5"/>
  <c r="G16" i="5" s="1"/>
  <c r="H16" i="5" s="1"/>
  <c r="D16" i="5"/>
  <c r="C16" i="5"/>
  <c r="V15" i="5"/>
  <c r="W15" i="5" s="1"/>
  <c r="Q15" i="5"/>
  <c r="R15" i="5" s="1"/>
  <c r="L15" i="5"/>
  <c r="M15" i="5" s="1"/>
  <c r="G15" i="5"/>
  <c r="H15" i="5" s="1"/>
  <c r="U14" i="5"/>
  <c r="V14" i="5" s="1"/>
  <c r="W14" i="5" s="1"/>
  <c r="Q14" i="5"/>
  <c r="R14" i="5" s="1"/>
  <c r="M14" i="5"/>
  <c r="L14" i="5"/>
  <c r="G14" i="5"/>
  <c r="H14" i="5" s="1"/>
  <c r="W13" i="5"/>
  <c r="V13" i="5"/>
  <c r="P13" i="5"/>
  <c r="Q13" i="5" s="1"/>
  <c r="R13" i="5" s="1"/>
  <c r="J13" i="5"/>
  <c r="L13" i="5" s="1"/>
  <c r="M13" i="5" s="1"/>
  <c r="H13" i="5"/>
  <c r="G13" i="5"/>
  <c r="U12" i="5"/>
  <c r="V12" i="5" s="1"/>
  <c r="W12" i="5" s="1"/>
  <c r="Q12" i="5"/>
  <c r="R12" i="5" s="1"/>
  <c r="P12" i="5"/>
  <c r="J12" i="5"/>
  <c r="L12" i="5" s="1"/>
  <c r="M12" i="5" s="1"/>
  <c r="G12" i="5"/>
  <c r="H12" i="5" s="1"/>
  <c r="E12" i="5"/>
  <c r="V11" i="5"/>
  <c r="W11" i="5" s="1"/>
  <c r="R11" i="5"/>
  <c r="Q11" i="5"/>
  <c r="M11" i="5"/>
  <c r="L11" i="5"/>
  <c r="G11" i="5"/>
  <c r="H11" i="5" s="1"/>
  <c r="V10" i="5"/>
  <c r="W10" i="5" s="1"/>
  <c r="R10" i="5"/>
  <c r="Q10" i="5"/>
  <c r="L10" i="5"/>
  <c r="M10" i="5" s="1"/>
  <c r="H10" i="5"/>
  <c r="G10" i="5"/>
  <c r="U9" i="5"/>
  <c r="V9" i="5" s="1"/>
  <c r="W9" i="5" s="1"/>
  <c r="P9" i="5"/>
  <c r="P6" i="5" s="1"/>
  <c r="J9" i="5"/>
  <c r="J6" i="5" s="1"/>
  <c r="G9" i="5"/>
  <c r="H9" i="5" s="1"/>
  <c r="E9" i="5"/>
  <c r="W8" i="5"/>
  <c r="V8" i="5"/>
  <c r="Q8" i="5"/>
  <c r="R8" i="5" s="1"/>
  <c r="L8" i="5"/>
  <c r="M8" i="5" s="1"/>
  <c r="H8" i="5"/>
  <c r="G8" i="5"/>
  <c r="U7" i="5"/>
  <c r="V7" i="5" s="1"/>
  <c r="W7" i="5" s="1"/>
  <c r="Q7" i="5"/>
  <c r="R7" i="5" s="1"/>
  <c r="P7" i="5"/>
  <c r="J7" i="5"/>
  <c r="L7" i="5" s="1"/>
  <c r="M7" i="5" s="1"/>
  <c r="G7" i="5"/>
  <c r="H7" i="5" s="1"/>
  <c r="T6" i="5"/>
  <c r="T5" i="5" s="1"/>
  <c r="T19" i="5" s="1"/>
  <c r="G6" i="5"/>
  <c r="H6" i="5" s="1"/>
  <c r="E6" i="5"/>
  <c r="D6" i="5"/>
  <c r="D5" i="5" s="1"/>
  <c r="D19" i="5" s="1"/>
  <c r="D47" i="5" s="1"/>
  <c r="C6" i="5"/>
  <c r="C5" i="5" s="1"/>
  <c r="C19" i="5" s="1"/>
  <c r="E5" i="5"/>
  <c r="E19" i="5" s="1"/>
  <c r="V3" i="5"/>
  <c r="W3" i="5" s="1"/>
  <c r="Q3" i="5"/>
  <c r="R3" i="5" s="1"/>
  <c r="L3" i="5"/>
  <c r="M3" i="5" s="1"/>
  <c r="G3" i="5"/>
  <c r="H3" i="5" s="1"/>
  <c r="T84" i="11"/>
  <c r="P84" i="11"/>
  <c r="O84" i="11"/>
  <c r="D84" i="11"/>
  <c r="C84" i="11"/>
  <c r="T83" i="11"/>
  <c r="T82" i="11" s="1"/>
  <c r="J83" i="11"/>
  <c r="E83" i="11"/>
  <c r="E82" i="11" s="1"/>
  <c r="D83" i="11"/>
  <c r="D82" i="11" s="1"/>
  <c r="V79" i="11"/>
  <c r="W79" i="11" s="1"/>
  <c r="Q79" i="11"/>
  <c r="R79" i="11" s="1"/>
  <c r="L79" i="11"/>
  <c r="M79" i="11" s="1"/>
  <c r="G79" i="11"/>
  <c r="H79" i="11" s="1"/>
  <c r="U78" i="11"/>
  <c r="V78" i="11" s="1"/>
  <c r="W78" i="11" s="1"/>
  <c r="R78" i="11"/>
  <c r="Q78" i="11"/>
  <c r="K78" i="11"/>
  <c r="L78" i="11" s="1"/>
  <c r="M78" i="11" s="1"/>
  <c r="E78" i="11"/>
  <c r="G78" i="11" s="1"/>
  <c r="H78" i="11" s="1"/>
  <c r="W77" i="11"/>
  <c r="V77" i="11"/>
  <c r="Q77" i="11"/>
  <c r="R77" i="11" s="1"/>
  <c r="M77" i="11"/>
  <c r="L77" i="11"/>
  <c r="G77" i="11"/>
  <c r="H77" i="11" s="1"/>
  <c r="U76" i="11"/>
  <c r="V76" i="11" s="1"/>
  <c r="W76" i="11" s="1"/>
  <c r="Q76" i="11"/>
  <c r="R76" i="11" s="1"/>
  <c r="L76" i="11"/>
  <c r="M76" i="11" s="1"/>
  <c r="G76" i="11"/>
  <c r="H76" i="11" s="1"/>
  <c r="V75" i="11"/>
  <c r="W75" i="11" s="1"/>
  <c r="Q75" i="11"/>
  <c r="R75" i="11" s="1"/>
  <c r="K75" i="11"/>
  <c r="L75" i="11" s="1"/>
  <c r="M75" i="11" s="1"/>
  <c r="H75" i="11"/>
  <c r="G75" i="11"/>
  <c r="V74" i="11"/>
  <c r="W74" i="11" s="1"/>
  <c r="U74" i="11"/>
  <c r="T74" i="11"/>
  <c r="Q74" i="11"/>
  <c r="R74" i="11" s="1"/>
  <c r="K74" i="11"/>
  <c r="L74" i="11" s="1"/>
  <c r="M74" i="11" s="1"/>
  <c r="J74" i="11"/>
  <c r="J70" i="11" s="1"/>
  <c r="J59" i="11" s="1"/>
  <c r="J80" i="11" s="1"/>
  <c r="E74" i="11"/>
  <c r="E70" i="11" s="1"/>
  <c r="E84" i="11" s="1"/>
  <c r="W73" i="11"/>
  <c r="V73" i="11"/>
  <c r="Q73" i="11"/>
  <c r="R73" i="11" s="1"/>
  <c r="L73" i="11"/>
  <c r="M73" i="11" s="1"/>
  <c r="G73" i="11"/>
  <c r="H73" i="11" s="1"/>
  <c r="V72" i="11"/>
  <c r="W72" i="11" s="1"/>
  <c r="Q72" i="11"/>
  <c r="R72" i="11" s="1"/>
  <c r="L72" i="11"/>
  <c r="M72" i="11" s="1"/>
  <c r="G72" i="11"/>
  <c r="H72" i="11" s="1"/>
  <c r="V71" i="11"/>
  <c r="W71" i="11" s="1"/>
  <c r="Q71" i="11"/>
  <c r="R71" i="11" s="1"/>
  <c r="L71" i="11"/>
  <c r="M71" i="11" s="1"/>
  <c r="G71" i="11"/>
  <c r="H71" i="11" s="1"/>
  <c r="T70" i="11"/>
  <c r="P70" i="11"/>
  <c r="O70" i="11"/>
  <c r="Q70" i="11" s="1"/>
  <c r="R70" i="11" s="1"/>
  <c r="G70" i="11"/>
  <c r="H70" i="11" s="1"/>
  <c r="F70" i="11"/>
  <c r="F84" i="11" s="1"/>
  <c r="G84" i="11" s="1"/>
  <c r="H84" i="11" s="1"/>
  <c r="D70" i="11"/>
  <c r="C70" i="11"/>
  <c r="V69" i="11"/>
  <c r="W69" i="11" s="1"/>
  <c r="Q69" i="11"/>
  <c r="R69" i="11" s="1"/>
  <c r="L69" i="11"/>
  <c r="M69" i="11" s="1"/>
  <c r="H69" i="11"/>
  <c r="G69" i="11"/>
  <c r="V68" i="11"/>
  <c r="W68" i="11" s="1"/>
  <c r="Q68" i="11"/>
  <c r="R68" i="11" s="1"/>
  <c r="L68" i="11"/>
  <c r="M68" i="11" s="1"/>
  <c r="G68" i="11"/>
  <c r="H68" i="11" s="1"/>
  <c r="V67" i="11"/>
  <c r="W67" i="11" s="1"/>
  <c r="Q67" i="11"/>
  <c r="R67" i="11" s="1"/>
  <c r="L67" i="11"/>
  <c r="M67" i="11" s="1"/>
  <c r="G67" i="11"/>
  <c r="H67" i="11" s="1"/>
  <c r="V66" i="11"/>
  <c r="W66" i="11" s="1"/>
  <c r="Q66" i="11"/>
  <c r="R66" i="11" s="1"/>
  <c r="L66" i="11"/>
  <c r="M66" i="11" s="1"/>
  <c r="G66" i="11"/>
  <c r="H66" i="11" s="1"/>
  <c r="V65" i="11"/>
  <c r="W65" i="11" s="1"/>
  <c r="Q65" i="11"/>
  <c r="R65" i="11" s="1"/>
  <c r="L65" i="11"/>
  <c r="M65" i="11" s="1"/>
  <c r="G65" i="11"/>
  <c r="H65" i="11" s="1"/>
  <c r="U64" i="11"/>
  <c r="V64" i="11" s="1"/>
  <c r="W64" i="11" s="1"/>
  <c r="R64" i="11"/>
  <c r="Q64" i="11"/>
  <c r="M64" i="11"/>
  <c r="L64" i="11"/>
  <c r="H64" i="11"/>
  <c r="G64" i="11"/>
  <c r="V63" i="11"/>
  <c r="W63" i="11" s="1"/>
  <c r="R63" i="11"/>
  <c r="Q63" i="11"/>
  <c r="L63" i="11"/>
  <c r="M63" i="11" s="1"/>
  <c r="H63" i="11"/>
  <c r="G63" i="11"/>
  <c r="W62" i="11"/>
  <c r="V62" i="11"/>
  <c r="R62" i="11"/>
  <c r="Q62" i="11"/>
  <c r="L62" i="11"/>
  <c r="M62" i="11" s="1"/>
  <c r="H62" i="11"/>
  <c r="G62" i="11"/>
  <c r="V61" i="11"/>
  <c r="W61" i="11" s="1"/>
  <c r="R61" i="11"/>
  <c r="Q61" i="11"/>
  <c r="M61" i="11"/>
  <c r="L61" i="11"/>
  <c r="H61" i="11"/>
  <c r="G61" i="11"/>
  <c r="U60" i="11"/>
  <c r="T60" i="11"/>
  <c r="T59" i="11" s="1"/>
  <c r="T80" i="11" s="1"/>
  <c r="P60" i="11"/>
  <c r="O60" i="11"/>
  <c r="O83" i="11" s="1"/>
  <c r="O82" i="11" s="1"/>
  <c r="K60" i="11"/>
  <c r="L60" i="11" s="1"/>
  <c r="M60" i="11" s="1"/>
  <c r="J60" i="11"/>
  <c r="F60" i="11"/>
  <c r="E60" i="11"/>
  <c r="E59" i="11" s="1"/>
  <c r="D60" i="11"/>
  <c r="D59" i="11" s="1"/>
  <c r="D80" i="11" s="1"/>
  <c r="C60" i="11"/>
  <c r="C59" i="11" s="1"/>
  <c r="O59" i="11"/>
  <c r="O80" i="11" s="1"/>
  <c r="W58" i="11"/>
  <c r="R58" i="11"/>
  <c r="M58" i="11"/>
  <c r="G58" i="11"/>
  <c r="H58" i="11" s="1"/>
  <c r="V57" i="11"/>
  <c r="W57" i="11" s="1"/>
  <c r="Q57" i="11"/>
  <c r="R57" i="11" s="1"/>
  <c r="L57" i="11"/>
  <c r="M57" i="11" s="1"/>
  <c r="G57" i="11"/>
  <c r="H57" i="11" s="1"/>
  <c r="V56" i="11"/>
  <c r="W56" i="11" s="1"/>
  <c r="Q56" i="11"/>
  <c r="R56" i="11" s="1"/>
  <c r="L56" i="11"/>
  <c r="M56" i="11" s="1"/>
  <c r="G56" i="11"/>
  <c r="H56" i="11" s="1"/>
  <c r="U55" i="11"/>
  <c r="T55" i="11"/>
  <c r="V55" i="11" s="1"/>
  <c r="W55" i="11" s="1"/>
  <c r="Q55" i="11"/>
  <c r="R55" i="11" s="1"/>
  <c r="P55" i="11"/>
  <c r="O55" i="11"/>
  <c r="L55" i="11"/>
  <c r="M55" i="11" s="1"/>
  <c r="K55" i="11"/>
  <c r="J55" i="11"/>
  <c r="F55" i="11"/>
  <c r="E55" i="11"/>
  <c r="G55" i="11" s="1"/>
  <c r="H55" i="11" s="1"/>
  <c r="D55" i="11"/>
  <c r="C55" i="11"/>
  <c r="V54" i="11"/>
  <c r="W54" i="11" s="1"/>
  <c r="Q54" i="11"/>
  <c r="R54" i="11" s="1"/>
  <c r="L54" i="11"/>
  <c r="M54" i="11" s="1"/>
  <c r="G54" i="11"/>
  <c r="H54" i="11" s="1"/>
  <c r="V53" i="11"/>
  <c r="W53" i="11" s="1"/>
  <c r="Q53" i="11"/>
  <c r="R53" i="11" s="1"/>
  <c r="L53" i="11"/>
  <c r="M53" i="11" s="1"/>
  <c r="G53" i="11"/>
  <c r="H53" i="11" s="1"/>
  <c r="U52" i="11"/>
  <c r="T52" i="11"/>
  <c r="T49" i="11" s="1"/>
  <c r="P52" i="11"/>
  <c r="Q52" i="11" s="1"/>
  <c r="R52" i="11" s="1"/>
  <c r="O52" i="11"/>
  <c r="O49" i="11" s="1"/>
  <c r="K52" i="11"/>
  <c r="L52" i="11" s="1"/>
  <c r="M52" i="11" s="1"/>
  <c r="J52" i="11"/>
  <c r="J49" i="11" s="1"/>
  <c r="F52" i="11"/>
  <c r="E52" i="11"/>
  <c r="E49" i="11" s="1"/>
  <c r="D52" i="11"/>
  <c r="D49" i="11" s="1"/>
  <c r="C52" i="11"/>
  <c r="V51" i="11"/>
  <c r="W51" i="11" s="1"/>
  <c r="Q51" i="11"/>
  <c r="R51" i="11" s="1"/>
  <c r="L51" i="11"/>
  <c r="M51" i="11" s="1"/>
  <c r="H51" i="11"/>
  <c r="W50" i="11"/>
  <c r="V50" i="11"/>
  <c r="R50" i="11"/>
  <c r="Q50" i="11"/>
  <c r="L50" i="11"/>
  <c r="M50" i="11" s="1"/>
  <c r="H50" i="11"/>
  <c r="G50" i="11"/>
  <c r="U49" i="11"/>
  <c r="V49" i="11" s="1"/>
  <c r="W49" i="11" s="1"/>
  <c r="K49" i="11"/>
  <c r="F49" i="11"/>
  <c r="G49" i="11" s="1"/>
  <c r="H49" i="11" s="1"/>
  <c r="V46" i="11"/>
  <c r="W46" i="11" s="1"/>
  <c r="M46" i="11"/>
  <c r="L46" i="11"/>
  <c r="H46" i="11"/>
  <c r="G46" i="11"/>
  <c r="W45" i="11"/>
  <c r="V45" i="11"/>
  <c r="L45" i="11"/>
  <c r="M45" i="11" s="1"/>
  <c r="H45" i="11"/>
  <c r="G45" i="11"/>
  <c r="V44" i="11"/>
  <c r="W44" i="11" s="1"/>
  <c r="M44" i="11"/>
  <c r="L44" i="11"/>
  <c r="H44" i="11"/>
  <c r="G44" i="11"/>
  <c r="W43" i="11"/>
  <c r="V43" i="11"/>
  <c r="Q43" i="11"/>
  <c r="R43" i="11" s="1"/>
  <c r="M43" i="11"/>
  <c r="L43" i="11"/>
  <c r="G43" i="11"/>
  <c r="H43" i="11" s="1"/>
  <c r="W42" i="11"/>
  <c r="V42" i="11"/>
  <c r="R42" i="11"/>
  <c r="Q42" i="11"/>
  <c r="M42" i="11"/>
  <c r="L42" i="11"/>
  <c r="G42" i="11"/>
  <c r="H42" i="11" s="1"/>
  <c r="W41" i="11"/>
  <c r="V41" i="11"/>
  <c r="Q41" i="11"/>
  <c r="R41" i="11" s="1"/>
  <c r="M41" i="11"/>
  <c r="L41" i="11"/>
  <c r="H41" i="11"/>
  <c r="G41" i="11"/>
  <c r="W40" i="11"/>
  <c r="V40" i="11"/>
  <c r="Q40" i="11"/>
  <c r="R40" i="11" s="1"/>
  <c r="M40" i="11"/>
  <c r="L40" i="11"/>
  <c r="G40" i="11"/>
  <c r="H40" i="11" s="1"/>
  <c r="W39" i="11"/>
  <c r="V39" i="11"/>
  <c r="R39" i="11"/>
  <c r="Q39" i="11"/>
  <c r="M39" i="11"/>
  <c r="L39" i="11"/>
  <c r="G39" i="11"/>
  <c r="H39" i="11" s="1"/>
  <c r="W38" i="11"/>
  <c r="V38" i="11"/>
  <c r="Q38" i="11"/>
  <c r="R38" i="11" s="1"/>
  <c r="M38" i="11"/>
  <c r="L38" i="11"/>
  <c r="H38" i="11"/>
  <c r="G38" i="11"/>
  <c r="U37" i="11"/>
  <c r="V37" i="11" s="1"/>
  <c r="W37" i="11" s="1"/>
  <c r="T37" i="11"/>
  <c r="T36" i="11" s="1"/>
  <c r="T25" i="11" s="1"/>
  <c r="P37" i="11"/>
  <c r="O37" i="11"/>
  <c r="O36" i="11" s="1"/>
  <c r="K37" i="11"/>
  <c r="L37" i="11" s="1"/>
  <c r="M37" i="11" s="1"/>
  <c r="G37" i="11"/>
  <c r="H37" i="11" s="1"/>
  <c r="F37" i="11"/>
  <c r="U36" i="11"/>
  <c r="P36" i="11"/>
  <c r="Q36" i="11" s="1"/>
  <c r="R36" i="11" s="1"/>
  <c r="K36" i="11"/>
  <c r="L36" i="11" s="1"/>
  <c r="M36" i="11" s="1"/>
  <c r="J36" i="11"/>
  <c r="F36" i="11"/>
  <c r="E36" i="11"/>
  <c r="D36" i="11"/>
  <c r="C36" i="11"/>
  <c r="C25" i="11" s="1"/>
  <c r="W35" i="11"/>
  <c r="V35" i="11"/>
  <c r="R35" i="11"/>
  <c r="Q35" i="11"/>
  <c r="M35" i="11"/>
  <c r="L35" i="11"/>
  <c r="G35" i="11"/>
  <c r="H35" i="11" s="1"/>
  <c r="W34" i="11"/>
  <c r="V34" i="11"/>
  <c r="Q34" i="11"/>
  <c r="R34" i="11" s="1"/>
  <c r="M34" i="11"/>
  <c r="L34" i="11"/>
  <c r="H34" i="11"/>
  <c r="G34" i="11"/>
  <c r="W33" i="11"/>
  <c r="V33" i="11"/>
  <c r="Q33" i="11"/>
  <c r="R33" i="11" s="1"/>
  <c r="M33" i="11"/>
  <c r="L33" i="11"/>
  <c r="G33" i="11"/>
  <c r="H33" i="11" s="1"/>
  <c r="W32" i="11"/>
  <c r="V32" i="11"/>
  <c r="R32" i="11"/>
  <c r="Q32" i="11"/>
  <c r="M32" i="11"/>
  <c r="L32" i="11"/>
  <c r="G32" i="11"/>
  <c r="H32" i="11" s="1"/>
  <c r="W31" i="11"/>
  <c r="V31" i="11"/>
  <c r="Q31" i="11"/>
  <c r="R31" i="11" s="1"/>
  <c r="M31" i="11"/>
  <c r="L31" i="11"/>
  <c r="H31" i="11"/>
  <c r="G31" i="11"/>
  <c r="W30" i="11"/>
  <c r="V30" i="11"/>
  <c r="Q30" i="11"/>
  <c r="R30" i="11" s="1"/>
  <c r="M30" i="11"/>
  <c r="L30" i="11"/>
  <c r="G30" i="11"/>
  <c r="H30" i="11" s="1"/>
  <c r="W29" i="11"/>
  <c r="V29" i="11"/>
  <c r="R29" i="11"/>
  <c r="Q29" i="11"/>
  <c r="M29" i="11"/>
  <c r="L29" i="11"/>
  <c r="G29" i="11"/>
  <c r="H29" i="11" s="1"/>
  <c r="W28" i="11"/>
  <c r="V28" i="11"/>
  <c r="Q28" i="11"/>
  <c r="R28" i="11" s="1"/>
  <c r="M28" i="11"/>
  <c r="L28" i="11"/>
  <c r="H28" i="11"/>
  <c r="G28" i="11"/>
  <c r="U27" i="11"/>
  <c r="U26" i="11" s="1"/>
  <c r="Q27" i="11"/>
  <c r="R27" i="11" s="1"/>
  <c r="L27" i="11"/>
  <c r="M27" i="11" s="1"/>
  <c r="G27" i="11"/>
  <c r="H27" i="11" s="1"/>
  <c r="T26" i="11"/>
  <c r="P26" i="11"/>
  <c r="P25" i="11" s="1"/>
  <c r="O26" i="11"/>
  <c r="K26" i="11"/>
  <c r="J26" i="11"/>
  <c r="J25" i="11" s="1"/>
  <c r="F26" i="11"/>
  <c r="E26" i="11"/>
  <c r="G26" i="11" s="1"/>
  <c r="H26" i="11" s="1"/>
  <c r="D26" i="11"/>
  <c r="C26" i="11"/>
  <c r="E25" i="11"/>
  <c r="D25" i="11"/>
  <c r="V24" i="11"/>
  <c r="W24" i="11" s="1"/>
  <c r="Q24" i="11"/>
  <c r="R24" i="11" s="1"/>
  <c r="M24" i="11"/>
  <c r="G24" i="11"/>
  <c r="H24" i="11" s="1"/>
  <c r="W23" i="11"/>
  <c r="V23" i="11"/>
  <c r="Q23" i="11"/>
  <c r="R23" i="11" s="1"/>
  <c r="M23" i="11"/>
  <c r="G23" i="11"/>
  <c r="H23" i="11" s="1"/>
  <c r="V22" i="11"/>
  <c r="W22" i="11" s="1"/>
  <c r="Q22" i="11"/>
  <c r="R22" i="11" s="1"/>
  <c r="M22" i="11"/>
  <c r="H22" i="11"/>
  <c r="G22" i="11"/>
  <c r="V21" i="11"/>
  <c r="W21" i="11" s="1"/>
  <c r="R21" i="11"/>
  <c r="Q21" i="11"/>
  <c r="M21" i="11"/>
  <c r="H21" i="11"/>
  <c r="W20" i="11"/>
  <c r="V20" i="11"/>
  <c r="Q20" i="11"/>
  <c r="R20" i="11" s="1"/>
  <c r="M20" i="11"/>
  <c r="L20" i="11"/>
  <c r="G20" i="11"/>
  <c r="H20" i="11" s="1"/>
  <c r="W19" i="11"/>
  <c r="V19" i="11"/>
  <c r="R19" i="11"/>
  <c r="Q19" i="11"/>
  <c r="M19" i="11"/>
  <c r="L19" i="11"/>
  <c r="G19" i="11"/>
  <c r="H19" i="11" s="1"/>
  <c r="W18" i="11"/>
  <c r="V18" i="11"/>
  <c r="Q18" i="11"/>
  <c r="R18" i="11" s="1"/>
  <c r="M18" i="11"/>
  <c r="L18" i="11"/>
  <c r="H18" i="11"/>
  <c r="G18" i="11"/>
  <c r="W17" i="11"/>
  <c r="V17" i="11"/>
  <c r="Q17" i="11"/>
  <c r="R17" i="11" s="1"/>
  <c r="M17" i="11"/>
  <c r="L17" i="11"/>
  <c r="G17" i="11"/>
  <c r="H17" i="11" s="1"/>
  <c r="W16" i="11"/>
  <c r="V16" i="11"/>
  <c r="R16" i="11"/>
  <c r="Q16" i="11"/>
  <c r="M16" i="11"/>
  <c r="L16" i="11"/>
  <c r="G16" i="11"/>
  <c r="H16" i="11" s="1"/>
  <c r="W15" i="11"/>
  <c r="V15" i="11"/>
  <c r="Q15" i="11"/>
  <c r="R15" i="11" s="1"/>
  <c r="M15" i="11"/>
  <c r="L15" i="11"/>
  <c r="H15" i="11"/>
  <c r="G15" i="11"/>
  <c r="T14" i="11"/>
  <c r="V14" i="11" s="1"/>
  <c r="W14" i="11" s="1"/>
  <c r="Q14" i="11"/>
  <c r="R14" i="11" s="1"/>
  <c r="O14" i="11"/>
  <c r="L14" i="11"/>
  <c r="M14" i="11" s="1"/>
  <c r="F14" i="11"/>
  <c r="G14" i="11" s="1"/>
  <c r="H14" i="11" s="1"/>
  <c r="V13" i="11"/>
  <c r="W13" i="11" s="1"/>
  <c r="T13" i="11"/>
  <c r="P13" i="11"/>
  <c r="P11" i="11" s="1"/>
  <c r="P3" i="11" s="1"/>
  <c r="Q3" i="11" s="1"/>
  <c r="R3" i="11" s="1"/>
  <c r="O13" i="11"/>
  <c r="K13" i="11"/>
  <c r="L13" i="11" s="1"/>
  <c r="M13" i="11" s="1"/>
  <c r="G13" i="11"/>
  <c r="H13" i="11" s="1"/>
  <c r="U12" i="11"/>
  <c r="T12" i="11"/>
  <c r="V12" i="11" s="1"/>
  <c r="W12" i="11" s="1"/>
  <c r="Q12" i="11"/>
  <c r="R12" i="11" s="1"/>
  <c r="O12" i="11"/>
  <c r="K12" i="11"/>
  <c r="K11" i="11" s="1"/>
  <c r="L11" i="11" s="1"/>
  <c r="M11" i="11" s="1"/>
  <c r="G12" i="11"/>
  <c r="H12" i="11" s="1"/>
  <c r="U11" i="11"/>
  <c r="T11" i="11"/>
  <c r="V11" i="11" s="1"/>
  <c r="W11" i="11" s="1"/>
  <c r="O11" i="11"/>
  <c r="J11" i="11"/>
  <c r="F11" i="11"/>
  <c r="E11" i="11"/>
  <c r="G11" i="11" s="1"/>
  <c r="H11" i="11" s="1"/>
  <c r="D11" i="11"/>
  <c r="C11" i="11"/>
  <c r="C3" i="11" s="1"/>
  <c r="V10" i="11"/>
  <c r="W10" i="11" s="1"/>
  <c r="Q10" i="11"/>
  <c r="R10" i="11" s="1"/>
  <c r="L10" i="11"/>
  <c r="M10" i="11" s="1"/>
  <c r="G10" i="11"/>
  <c r="H10" i="11" s="1"/>
  <c r="V9" i="11"/>
  <c r="W9" i="11" s="1"/>
  <c r="Q9" i="11"/>
  <c r="R9" i="11" s="1"/>
  <c r="L9" i="11"/>
  <c r="M9" i="11" s="1"/>
  <c r="G9" i="11"/>
  <c r="H9" i="11" s="1"/>
  <c r="V8" i="11"/>
  <c r="W8" i="11" s="1"/>
  <c r="Q8" i="11"/>
  <c r="R8" i="11" s="1"/>
  <c r="L8" i="11"/>
  <c r="M8" i="11" s="1"/>
  <c r="G8" i="11"/>
  <c r="H8" i="11" s="1"/>
  <c r="V7" i="11"/>
  <c r="W7" i="11" s="1"/>
  <c r="R7" i="11"/>
  <c r="Q7" i="11"/>
  <c r="L7" i="11"/>
  <c r="M7" i="11" s="1"/>
  <c r="G7" i="11"/>
  <c r="H7" i="11" s="1"/>
  <c r="V6" i="11"/>
  <c r="W6" i="11" s="1"/>
  <c r="Q6" i="11"/>
  <c r="R6" i="11" s="1"/>
  <c r="L6" i="11"/>
  <c r="M6" i="11" s="1"/>
  <c r="G6" i="11"/>
  <c r="H6" i="11" s="1"/>
  <c r="V5" i="11"/>
  <c r="W5" i="11" s="1"/>
  <c r="Q5" i="11"/>
  <c r="R5" i="11" s="1"/>
  <c r="L5" i="11"/>
  <c r="M5" i="11" s="1"/>
  <c r="G5" i="11"/>
  <c r="H5" i="11" s="1"/>
  <c r="U4" i="11"/>
  <c r="T4" i="11"/>
  <c r="T3" i="11" s="1"/>
  <c r="T47" i="11" s="1"/>
  <c r="P4" i="11"/>
  <c r="O4" i="11"/>
  <c r="Q4" i="11" s="1"/>
  <c r="R4" i="11" s="1"/>
  <c r="K4" i="11"/>
  <c r="J4" i="11"/>
  <c r="J3" i="11" s="1"/>
  <c r="F4" i="11"/>
  <c r="E4" i="11"/>
  <c r="E3" i="11" s="1"/>
  <c r="E47" i="11" s="1"/>
  <c r="D4" i="11"/>
  <c r="C4" i="11"/>
  <c r="O3" i="11"/>
  <c r="D3" i="11"/>
  <c r="D47" i="11" s="1"/>
  <c r="V19" i="12"/>
  <c r="W19" i="12" s="1"/>
  <c r="Q19" i="12"/>
  <c r="R19" i="12" s="1"/>
  <c r="L19" i="12"/>
  <c r="M19" i="12" s="1"/>
  <c r="G19" i="12"/>
  <c r="H19" i="12" s="1"/>
  <c r="V18" i="12"/>
  <c r="W18" i="12" s="1"/>
  <c r="Q18" i="12"/>
  <c r="R18" i="12" s="1"/>
  <c r="L18" i="12"/>
  <c r="M18" i="12" s="1"/>
  <c r="G18" i="12"/>
  <c r="H18" i="12" s="1"/>
  <c r="S17" i="12"/>
  <c r="S20" i="12" s="1"/>
  <c r="W16" i="12"/>
  <c r="V16" i="12"/>
  <c r="Q16" i="12"/>
  <c r="R16" i="12" s="1"/>
  <c r="L16" i="12"/>
  <c r="M16" i="12" s="1"/>
  <c r="H16" i="12"/>
  <c r="G16" i="12"/>
  <c r="V14" i="12"/>
  <c r="W14" i="12" s="1"/>
  <c r="Q14" i="12"/>
  <c r="R14" i="12" s="1"/>
  <c r="M14" i="12"/>
  <c r="L14" i="12"/>
  <c r="G14" i="12"/>
  <c r="H14" i="12" s="1"/>
  <c r="W13" i="12"/>
  <c r="V13" i="12"/>
  <c r="R13" i="12"/>
  <c r="Q13" i="12"/>
  <c r="L13" i="12"/>
  <c r="M13" i="12" s="1"/>
  <c r="G13" i="12"/>
  <c r="H13" i="12" s="1"/>
  <c r="W12" i="12"/>
  <c r="V12" i="12"/>
  <c r="Q12" i="12"/>
  <c r="R12" i="12" s="1"/>
  <c r="M12" i="12"/>
  <c r="L12" i="12"/>
  <c r="H12" i="12"/>
  <c r="G12" i="12"/>
  <c r="V11" i="12"/>
  <c r="W11" i="12" s="1"/>
  <c r="Q11" i="12"/>
  <c r="R11" i="12" s="1"/>
  <c r="M11" i="12"/>
  <c r="L11" i="12"/>
  <c r="G11" i="12"/>
  <c r="H11" i="12" s="1"/>
  <c r="W10" i="12"/>
  <c r="V10" i="12"/>
  <c r="R10" i="12"/>
  <c r="Q10" i="12"/>
  <c r="L10" i="12"/>
  <c r="M10" i="12" s="1"/>
  <c r="G10" i="12"/>
  <c r="H10" i="12" s="1"/>
  <c r="W9" i="12"/>
  <c r="V9" i="12"/>
  <c r="P9" i="12"/>
  <c r="Q9" i="12" s="1"/>
  <c r="R9" i="12" s="1"/>
  <c r="L9" i="12"/>
  <c r="M9" i="12" s="1"/>
  <c r="K9" i="12"/>
  <c r="J9" i="12"/>
  <c r="E9" i="12"/>
  <c r="G9" i="12" s="1"/>
  <c r="H9" i="12" s="1"/>
  <c r="W8" i="12"/>
  <c r="V8" i="12"/>
  <c r="Q8" i="12"/>
  <c r="R8" i="12" s="1"/>
  <c r="J8" i="12"/>
  <c r="L8" i="12" s="1"/>
  <c r="M8" i="12" s="1"/>
  <c r="E8" i="12"/>
  <c r="G8" i="12" s="1"/>
  <c r="H8" i="12" s="1"/>
  <c r="V7" i="12"/>
  <c r="W7" i="12" s="1"/>
  <c r="R7" i="12"/>
  <c r="Q7" i="12"/>
  <c r="L7" i="12"/>
  <c r="M7" i="12" s="1"/>
  <c r="H7" i="12"/>
  <c r="G7" i="12"/>
  <c r="W6" i="12"/>
  <c r="V6" i="12"/>
  <c r="Q6" i="12"/>
  <c r="R6" i="12" s="1"/>
  <c r="L6" i="12"/>
  <c r="M6" i="12" s="1"/>
  <c r="H6" i="12"/>
  <c r="G6" i="12"/>
  <c r="U5" i="12"/>
  <c r="U15" i="12" s="1"/>
  <c r="T5" i="12"/>
  <c r="T15" i="12" s="1"/>
  <c r="T17" i="12" s="1"/>
  <c r="P5" i="12"/>
  <c r="Q5" i="12" s="1"/>
  <c r="R5" i="12" s="1"/>
  <c r="O5" i="12"/>
  <c r="O15" i="12" s="1"/>
  <c r="O17" i="12" s="1"/>
  <c r="K5" i="12"/>
  <c r="F5" i="12"/>
  <c r="G5" i="12" s="1"/>
  <c r="H5" i="12" s="1"/>
  <c r="E5" i="12"/>
  <c r="E15" i="12" s="1"/>
  <c r="E17" i="12" s="1"/>
  <c r="D5" i="12"/>
  <c r="D15" i="12" s="1"/>
  <c r="D17" i="12" s="1"/>
  <c r="C5" i="12"/>
  <c r="C15" i="12" s="1"/>
  <c r="C17" i="12" s="1"/>
  <c r="C20" i="12" s="1"/>
  <c r="V4" i="12"/>
  <c r="W4" i="12" s="1"/>
  <c r="Q4" i="12"/>
  <c r="R4" i="12" s="1"/>
  <c r="J4" i="12"/>
  <c r="J5" i="12" s="1"/>
  <c r="J15" i="12" s="1"/>
  <c r="J17" i="12" s="1"/>
  <c r="G4" i="12"/>
  <c r="H4" i="12" s="1"/>
  <c r="V3" i="12"/>
  <c r="W3" i="12" s="1"/>
  <c r="Q3" i="12"/>
  <c r="R3" i="12" s="1"/>
  <c r="L3" i="12"/>
  <c r="M3" i="12" s="1"/>
  <c r="G3" i="12"/>
  <c r="H3" i="12" s="1"/>
  <c r="V72" i="10"/>
  <c r="V60" i="10"/>
  <c r="T38" i="9" l="1"/>
  <c r="O38" i="9"/>
  <c r="P38" i="9"/>
  <c r="V9" i="9"/>
  <c r="W9" i="9" s="1"/>
  <c r="Q9" i="9"/>
  <c r="R9" i="9" s="1"/>
  <c r="G9" i="9"/>
  <c r="H9" i="9" s="1"/>
  <c r="E38" i="9"/>
  <c r="D38" i="9"/>
  <c r="K18" i="9"/>
  <c r="L19" i="9"/>
  <c r="M19" i="9" s="1"/>
  <c r="V19" i="9"/>
  <c r="W19" i="9" s="1"/>
  <c r="U18" i="9"/>
  <c r="J38" i="9"/>
  <c r="G18" i="9"/>
  <c r="H18" i="9" s="1"/>
  <c r="G19" i="9"/>
  <c r="H19" i="9" s="1"/>
  <c r="Q17" i="9"/>
  <c r="R17" i="9" s="1"/>
  <c r="K9" i="9"/>
  <c r="L9" i="9" s="1"/>
  <c r="M9" i="9" s="1"/>
  <c r="F38" i="9"/>
  <c r="V3" i="9"/>
  <c r="W3" i="9" s="1"/>
  <c r="V27" i="5"/>
  <c r="W27" i="5" s="1"/>
  <c r="U34" i="5"/>
  <c r="V34" i="5" s="1"/>
  <c r="W34" i="5" s="1"/>
  <c r="E47" i="5"/>
  <c r="G47" i="5" s="1"/>
  <c r="H47" i="5" s="1"/>
  <c r="G19" i="5"/>
  <c r="H19" i="5" s="1"/>
  <c r="C47" i="5"/>
  <c r="T47" i="5"/>
  <c r="L6" i="5"/>
  <c r="M6" i="5" s="1"/>
  <c r="J5" i="5"/>
  <c r="Q6" i="5"/>
  <c r="R6" i="5" s="1"/>
  <c r="P5" i="5"/>
  <c r="G5" i="5"/>
  <c r="H5" i="5" s="1"/>
  <c r="U6" i="5"/>
  <c r="L18" i="5"/>
  <c r="M18" i="5" s="1"/>
  <c r="G27" i="5"/>
  <c r="H27" i="5" s="1"/>
  <c r="G36" i="5"/>
  <c r="H36" i="5" s="1"/>
  <c r="L9" i="5"/>
  <c r="M9" i="5" s="1"/>
  <c r="Q9" i="5"/>
  <c r="R9" i="5" s="1"/>
  <c r="V29" i="5"/>
  <c r="W29" i="5" s="1"/>
  <c r="J34" i="5"/>
  <c r="L34" i="5" s="1"/>
  <c r="M34" i="5" s="1"/>
  <c r="J44" i="5"/>
  <c r="L44" i="5" s="1"/>
  <c r="M44" i="5" s="1"/>
  <c r="V17" i="5"/>
  <c r="W17" i="5" s="1"/>
  <c r="C47" i="11"/>
  <c r="U3" i="11"/>
  <c r="V3" i="11" s="1"/>
  <c r="W3" i="11" s="1"/>
  <c r="V4" i="11"/>
  <c r="W4" i="11" s="1"/>
  <c r="Q37" i="11"/>
  <c r="R37" i="11" s="1"/>
  <c r="G36" i="11"/>
  <c r="H36" i="11" s="1"/>
  <c r="F25" i="11"/>
  <c r="E80" i="11"/>
  <c r="Q13" i="11"/>
  <c r="R13" i="11" s="1"/>
  <c r="L12" i="11"/>
  <c r="M12" i="11" s="1"/>
  <c r="J84" i="11"/>
  <c r="J82" i="11" s="1"/>
  <c r="P47" i="11"/>
  <c r="V60" i="11"/>
  <c r="W60" i="11" s="1"/>
  <c r="U83" i="11"/>
  <c r="V26" i="11"/>
  <c r="W26" i="11" s="1"/>
  <c r="U25" i="11"/>
  <c r="V36" i="11"/>
  <c r="W36" i="11" s="1"/>
  <c r="P83" i="11"/>
  <c r="P59" i="11"/>
  <c r="C83" i="11"/>
  <c r="C82" i="11" s="1"/>
  <c r="Q84" i="11"/>
  <c r="R84" i="11" s="1"/>
  <c r="F59" i="11"/>
  <c r="G60" i="11"/>
  <c r="H60" i="11" s="1"/>
  <c r="F83" i="11"/>
  <c r="Q11" i="11"/>
  <c r="R11" i="11" s="1"/>
  <c r="L49" i="11"/>
  <c r="M49" i="11" s="1"/>
  <c r="F3" i="11"/>
  <c r="G3" i="11" s="1"/>
  <c r="H3" i="11" s="1"/>
  <c r="G4" i="11"/>
  <c r="H4" i="11" s="1"/>
  <c r="J47" i="11"/>
  <c r="K25" i="11"/>
  <c r="L26" i="11"/>
  <c r="M26" i="11" s="1"/>
  <c r="K3" i="11"/>
  <c r="L3" i="11" s="1"/>
  <c r="M3" i="11" s="1"/>
  <c r="L4" i="11"/>
  <c r="M4" i="11" s="1"/>
  <c r="O25" i="11"/>
  <c r="O47" i="11" s="1"/>
  <c r="C49" i="11"/>
  <c r="C80" i="11" s="1"/>
  <c r="Q60" i="11"/>
  <c r="R60" i="11" s="1"/>
  <c r="U70" i="11"/>
  <c r="K70" i="11"/>
  <c r="G74" i="11"/>
  <c r="H74" i="11" s="1"/>
  <c r="V27" i="11"/>
  <c r="W27" i="11" s="1"/>
  <c r="K83" i="11"/>
  <c r="P49" i="11"/>
  <c r="Q49" i="11" s="1"/>
  <c r="R49" i="11" s="1"/>
  <c r="G52" i="11"/>
  <c r="H52" i="11" s="1"/>
  <c r="V52" i="11"/>
  <c r="W52" i="11" s="1"/>
  <c r="Q26" i="11"/>
  <c r="R26" i="11" s="1"/>
  <c r="V15" i="12"/>
  <c r="W15" i="12" s="1"/>
  <c r="U17" i="12"/>
  <c r="L5" i="12"/>
  <c r="M5" i="12" s="1"/>
  <c r="V5" i="12"/>
  <c r="W5" i="12" s="1"/>
  <c r="L4" i="12"/>
  <c r="M4" i="12" s="1"/>
  <c r="K15" i="12"/>
  <c r="F15" i="12"/>
  <c r="P15" i="12"/>
  <c r="V171" i="2"/>
  <c r="W171" i="2" s="1"/>
  <c r="Q171" i="2"/>
  <c r="R171" i="2" s="1"/>
  <c r="L171" i="2"/>
  <c r="M171" i="2" s="1"/>
  <c r="G171" i="2"/>
  <c r="H171" i="2" s="1"/>
  <c r="Q170" i="2"/>
  <c r="R170" i="2" s="1"/>
  <c r="L170" i="2"/>
  <c r="M170" i="2" s="1"/>
  <c r="V169" i="2"/>
  <c r="W169" i="2" s="1"/>
  <c r="Q169" i="2"/>
  <c r="R169" i="2" s="1"/>
  <c r="L169" i="2"/>
  <c r="M169" i="2" s="1"/>
  <c r="G169" i="2"/>
  <c r="H169" i="2" s="1"/>
  <c r="V168" i="2"/>
  <c r="W168" i="2" s="1"/>
  <c r="Q168" i="2"/>
  <c r="R168" i="2" s="1"/>
  <c r="L168" i="2"/>
  <c r="M168" i="2" s="1"/>
  <c r="G168" i="2"/>
  <c r="H168" i="2" s="1"/>
  <c r="V167" i="2"/>
  <c r="W167" i="2" s="1"/>
  <c r="Q167" i="2"/>
  <c r="R167" i="2" s="1"/>
  <c r="L167" i="2"/>
  <c r="M167" i="2" s="1"/>
  <c r="G167" i="2"/>
  <c r="H167" i="2" s="1"/>
  <c r="V166" i="2"/>
  <c r="W166" i="2" s="1"/>
  <c r="Q166" i="2"/>
  <c r="R166" i="2" s="1"/>
  <c r="L166" i="2"/>
  <c r="M166" i="2" s="1"/>
  <c r="G166" i="2"/>
  <c r="H166" i="2" s="1"/>
  <c r="V165" i="2"/>
  <c r="W165" i="2" s="1"/>
  <c r="L165" i="2"/>
  <c r="M165" i="2" s="1"/>
  <c r="G165" i="2"/>
  <c r="H165" i="2" s="1"/>
  <c r="V162" i="2"/>
  <c r="W162" i="2" s="1"/>
  <c r="Q154" i="2"/>
  <c r="R154" i="2" s="1"/>
  <c r="L162" i="2"/>
  <c r="M162" i="2" s="1"/>
  <c r="V161" i="2"/>
  <c r="W161" i="2" s="1"/>
  <c r="Q161" i="2"/>
  <c r="R161" i="2" s="1"/>
  <c r="L161" i="2"/>
  <c r="M161" i="2" s="1"/>
  <c r="G161" i="2"/>
  <c r="H161" i="2" s="1"/>
  <c r="V160" i="2"/>
  <c r="W160" i="2" s="1"/>
  <c r="Q160" i="2"/>
  <c r="R160" i="2" s="1"/>
  <c r="L160" i="2"/>
  <c r="M160" i="2" s="1"/>
  <c r="G160" i="2"/>
  <c r="H160" i="2" s="1"/>
  <c r="V159" i="2"/>
  <c r="W159" i="2" s="1"/>
  <c r="Q159" i="2"/>
  <c r="R159" i="2" s="1"/>
  <c r="L159" i="2"/>
  <c r="M159" i="2" s="1"/>
  <c r="G159" i="2"/>
  <c r="H159" i="2" s="1"/>
  <c r="V158" i="2"/>
  <c r="W158" i="2" s="1"/>
  <c r="Q158" i="2"/>
  <c r="R158" i="2" s="1"/>
  <c r="L158" i="2"/>
  <c r="M158" i="2" s="1"/>
  <c r="G158" i="2"/>
  <c r="H158" i="2" s="1"/>
  <c r="V157" i="2"/>
  <c r="W157" i="2" s="1"/>
  <c r="Q157" i="2"/>
  <c r="R157" i="2" s="1"/>
  <c r="L157" i="2"/>
  <c r="M157" i="2" s="1"/>
  <c r="G157" i="2"/>
  <c r="H157" i="2" s="1"/>
  <c r="V156" i="2"/>
  <c r="W156" i="2" s="1"/>
  <c r="Q156" i="2"/>
  <c r="R156" i="2" s="1"/>
  <c r="G156" i="2"/>
  <c r="H156" i="2" s="1"/>
  <c r="V155" i="2"/>
  <c r="W155" i="2" s="1"/>
  <c r="Q155" i="2"/>
  <c r="R155" i="2" s="1"/>
  <c r="L155" i="2"/>
  <c r="M155" i="2" s="1"/>
  <c r="G155" i="2"/>
  <c r="H155" i="2" s="1"/>
  <c r="V154" i="2"/>
  <c r="W154" i="2" s="1"/>
  <c r="V152" i="2"/>
  <c r="W152" i="2" s="1"/>
  <c r="Q152" i="2"/>
  <c r="R152" i="2" s="1"/>
  <c r="L152" i="2"/>
  <c r="M152" i="2" s="1"/>
  <c r="G152" i="2"/>
  <c r="H152" i="2" s="1"/>
  <c r="V151" i="2"/>
  <c r="W151" i="2" s="1"/>
  <c r="Q151" i="2"/>
  <c r="R151" i="2" s="1"/>
  <c r="L151" i="2"/>
  <c r="M151" i="2" s="1"/>
  <c r="G151" i="2"/>
  <c r="H151" i="2" s="1"/>
  <c r="V150" i="2"/>
  <c r="W150" i="2" s="1"/>
  <c r="Q150" i="2"/>
  <c r="R150" i="2" s="1"/>
  <c r="L150" i="2"/>
  <c r="M150" i="2" s="1"/>
  <c r="G150" i="2"/>
  <c r="H150" i="2" s="1"/>
  <c r="V149" i="2"/>
  <c r="W149" i="2" s="1"/>
  <c r="Q149" i="2"/>
  <c r="R149" i="2" s="1"/>
  <c r="L149" i="2"/>
  <c r="M149" i="2" s="1"/>
  <c r="G149" i="2"/>
  <c r="H149" i="2" s="1"/>
  <c r="V148" i="2"/>
  <c r="W148" i="2" s="1"/>
  <c r="Q148" i="2"/>
  <c r="R148" i="2" s="1"/>
  <c r="L148" i="2"/>
  <c r="M148" i="2" s="1"/>
  <c r="G148" i="2"/>
  <c r="H148" i="2" s="1"/>
  <c r="V147" i="2"/>
  <c r="W147" i="2" s="1"/>
  <c r="Q147" i="2"/>
  <c r="R147" i="2" s="1"/>
  <c r="L147" i="2"/>
  <c r="M147" i="2" s="1"/>
  <c r="G147" i="2"/>
  <c r="H147" i="2" s="1"/>
  <c r="V146" i="2"/>
  <c r="W146" i="2" s="1"/>
  <c r="F146" i="2"/>
  <c r="V143" i="2"/>
  <c r="W143" i="2" s="1"/>
  <c r="Q143" i="2"/>
  <c r="R143" i="2" s="1"/>
  <c r="L143" i="2"/>
  <c r="M143" i="2" s="1"/>
  <c r="G143" i="2"/>
  <c r="H143" i="2" s="1"/>
  <c r="V142" i="2"/>
  <c r="W142" i="2" s="1"/>
  <c r="Q142" i="2"/>
  <c r="R142" i="2" s="1"/>
  <c r="L142" i="2"/>
  <c r="M142" i="2" s="1"/>
  <c r="G142" i="2"/>
  <c r="H142" i="2" s="1"/>
  <c r="V141" i="2"/>
  <c r="W141" i="2" s="1"/>
  <c r="Q141" i="2"/>
  <c r="R141" i="2" s="1"/>
  <c r="M141" i="2"/>
  <c r="G141" i="2"/>
  <c r="H141" i="2" s="1"/>
  <c r="V140" i="2"/>
  <c r="W140" i="2" s="1"/>
  <c r="Q140" i="2"/>
  <c r="R140" i="2" s="1"/>
  <c r="F140" i="2"/>
  <c r="V138" i="2"/>
  <c r="W138" i="2" s="1"/>
  <c r="Q138" i="2"/>
  <c r="R138" i="2" s="1"/>
  <c r="L138" i="2"/>
  <c r="M138" i="2" s="1"/>
  <c r="G138" i="2"/>
  <c r="H138" i="2" s="1"/>
  <c r="V137" i="2"/>
  <c r="W137" i="2" s="1"/>
  <c r="Q137" i="2"/>
  <c r="R137" i="2" s="1"/>
  <c r="L137" i="2"/>
  <c r="M137" i="2" s="1"/>
  <c r="G137" i="2"/>
  <c r="H137" i="2" s="1"/>
  <c r="V136" i="2"/>
  <c r="W136" i="2" s="1"/>
  <c r="Q136" i="2"/>
  <c r="R136" i="2" s="1"/>
  <c r="L136" i="2"/>
  <c r="M136" i="2" s="1"/>
  <c r="G136" i="2"/>
  <c r="H136" i="2" s="1"/>
  <c r="V135" i="2"/>
  <c r="W135" i="2" s="1"/>
  <c r="R135" i="2"/>
  <c r="Q135" i="2"/>
  <c r="L135" i="2"/>
  <c r="M135" i="2" s="1"/>
  <c r="G135" i="2"/>
  <c r="H135" i="2" s="1"/>
  <c r="V134" i="2"/>
  <c r="W134" i="2" s="1"/>
  <c r="Q134" i="2"/>
  <c r="R134" i="2" s="1"/>
  <c r="L134" i="2"/>
  <c r="M134" i="2" s="1"/>
  <c r="G134" i="2"/>
  <c r="H134" i="2" s="1"/>
  <c r="V133" i="2"/>
  <c r="W133" i="2" s="1"/>
  <c r="Q133" i="2"/>
  <c r="R133" i="2" s="1"/>
  <c r="L133" i="2"/>
  <c r="M133" i="2" s="1"/>
  <c r="G133" i="2"/>
  <c r="H133" i="2" s="1"/>
  <c r="V132" i="2"/>
  <c r="W132" i="2" s="1"/>
  <c r="Q132" i="2"/>
  <c r="R132" i="2" s="1"/>
  <c r="L132" i="2"/>
  <c r="M132" i="2" s="1"/>
  <c r="V131" i="2"/>
  <c r="W131" i="2" s="1"/>
  <c r="Q131" i="2"/>
  <c r="R131" i="2" s="1"/>
  <c r="L131" i="2"/>
  <c r="M131" i="2" s="1"/>
  <c r="G131" i="2"/>
  <c r="H131" i="2" s="1"/>
  <c r="V128" i="2"/>
  <c r="W128" i="2" s="1"/>
  <c r="Q128" i="2"/>
  <c r="R128" i="2" s="1"/>
  <c r="L128" i="2"/>
  <c r="M128" i="2" s="1"/>
  <c r="G128" i="2"/>
  <c r="H128" i="2" s="1"/>
  <c r="V127" i="2"/>
  <c r="W127" i="2" s="1"/>
  <c r="Q127" i="2"/>
  <c r="R127" i="2" s="1"/>
  <c r="L127" i="2"/>
  <c r="M127" i="2" s="1"/>
  <c r="G127" i="2"/>
  <c r="H127" i="2" s="1"/>
  <c r="V126" i="2"/>
  <c r="W126" i="2" s="1"/>
  <c r="Q126" i="2"/>
  <c r="R126" i="2" s="1"/>
  <c r="L126" i="2"/>
  <c r="M126" i="2" s="1"/>
  <c r="G126" i="2"/>
  <c r="H126" i="2" s="1"/>
  <c r="V125" i="2"/>
  <c r="W125" i="2" s="1"/>
  <c r="Q125" i="2"/>
  <c r="R125" i="2" s="1"/>
  <c r="M125" i="2"/>
  <c r="L125" i="2"/>
  <c r="G125" i="2"/>
  <c r="H125" i="2" s="1"/>
  <c r="V124" i="2"/>
  <c r="W124" i="2" s="1"/>
  <c r="Q124" i="2"/>
  <c r="R124" i="2" s="1"/>
  <c r="L124" i="2"/>
  <c r="M124" i="2" s="1"/>
  <c r="G124" i="2"/>
  <c r="H124" i="2" s="1"/>
  <c r="V123" i="2"/>
  <c r="W123" i="2" s="1"/>
  <c r="Q123" i="2"/>
  <c r="R123" i="2" s="1"/>
  <c r="L123" i="2"/>
  <c r="M123" i="2" s="1"/>
  <c r="G123" i="2"/>
  <c r="H123" i="2" s="1"/>
  <c r="V122" i="2"/>
  <c r="W122" i="2" s="1"/>
  <c r="Q122" i="2"/>
  <c r="R122" i="2" s="1"/>
  <c r="L122" i="2"/>
  <c r="M122" i="2" s="1"/>
  <c r="G122" i="2"/>
  <c r="H122" i="2" s="1"/>
  <c r="V121" i="2"/>
  <c r="W121" i="2" s="1"/>
  <c r="Q121" i="2"/>
  <c r="R121" i="2" s="1"/>
  <c r="L121" i="2"/>
  <c r="M121" i="2" s="1"/>
  <c r="G121" i="2"/>
  <c r="H121" i="2" s="1"/>
  <c r="V120" i="2"/>
  <c r="W120" i="2" s="1"/>
  <c r="Q120" i="2"/>
  <c r="R120" i="2" s="1"/>
  <c r="L120" i="2"/>
  <c r="M120" i="2" s="1"/>
  <c r="G120" i="2"/>
  <c r="H120" i="2" s="1"/>
  <c r="V119" i="2"/>
  <c r="W119" i="2" s="1"/>
  <c r="L119" i="2"/>
  <c r="M119" i="2" s="1"/>
  <c r="F119" i="2"/>
  <c r="V118" i="2"/>
  <c r="W118" i="2" s="1"/>
  <c r="Q118" i="2"/>
  <c r="R118" i="2" s="1"/>
  <c r="L118" i="2"/>
  <c r="M118" i="2" s="1"/>
  <c r="G118" i="2"/>
  <c r="H118" i="2" s="1"/>
  <c r="V117" i="2"/>
  <c r="W117" i="2" s="1"/>
  <c r="Q117" i="2"/>
  <c r="R117" i="2" s="1"/>
  <c r="L117" i="2"/>
  <c r="M117" i="2" s="1"/>
  <c r="G117" i="2"/>
  <c r="H117" i="2" s="1"/>
  <c r="V116" i="2"/>
  <c r="W116" i="2" s="1"/>
  <c r="Q116" i="2"/>
  <c r="R116" i="2" s="1"/>
  <c r="L116" i="2"/>
  <c r="M116" i="2" s="1"/>
  <c r="G116" i="2"/>
  <c r="H116" i="2" s="1"/>
  <c r="V114" i="2"/>
  <c r="W114" i="2" s="1"/>
  <c r="F114" i="2"/>
  <c r="G114" i="2"/>
  <c r="H114" i="2" s="1"/>
  <c r="V113" i="2"/>
  <c r="W113" i="2" s="1"/>
  <c r="Q113" i="2"/>
  <c r="R113" i="2" s="1"/>
  <c r="L113" i="2"/>
  <c r="M113" i="2" s="1"/>
  <c r="G113" i="2"/>
  <c r="H113" i="2" s="1"/>
  <c r="V112" i="2"/>
  <c r="W112" i="2" s="1"/>
  <c r="Q112" i="2"/>
  <c r="R112" i="2" s="1"/>
  <c r="L112" i="2"/>
  <c r="M112" i="2" s="1"/>
  <c r="G112" i="2"/>
  <c r="H112" i="2" s="1"/>
  <c r="V111" i="2"/>
  <c r="W111" i="2" s="1"/>
  <c r="Q111" i="2"/>
  <c r="R111" i="2" s="1"/>
  <c r="L111" i="2"/>
  <c r="M111" i="2" s="1"/>
  <c r="G111" i="2"/>
  <c r="H111" i="2" s="1"/>
  <c r="V110" i="2"/>
  <c r="W110" i="2" s="1"/>
  <c r="Q110" i="2"/>
  <c r="R110" i="2" s="1"/>
  <c r="L110" i="2"/>
  <c r="M110" i="2" s="1"/>
  <c r="G110" i="2"/>
  <c r="H110" i="2" s="1"/>
  <c r="V109" i="2"/>
  <c r="W109" i="2" s="1"/>
  <c r="L109" i="2"/>
  <c r="M109" i="2" s="1"/>
  <c r="F109" i="2"/>
  <c r="G109" i="2" s="1"/>
  <c r="H109" i="2" s="1"/>
  <c r="V108" i="2"/>
  <c r="W108" i="2" s="1"/>
  <c r="Q108" i="2"/>
  <c r="R108" i="2" s="1"/>
  <c r="L108" i="2"/>
  <c r="M108" i="2" s="1"/>
  <c r="G108" i="2"/>
  <c r="H108" i="2" s="1"/>
  <c r="V107" i="2"/>
  <c r="W107" i="2" s="1"/>
  <c r="Q107" i="2"/>
  <c r="R107" i="2" s="1"/>
  <c r="L107" i="2"/>
  <c r="M107" i="2" s="1"/>
  <c r="G107" i="2"/>
  <c r="H107" i="2" s="1"/>
  <c r="V106" i="2"/>
  <c r="W106" i="2" s="1"/>
  <c r="Q106" i="2"/>
  <c r="R106" i="2" s="1"/>
  <c r="L106" i="2"/>
  <c r="M106" i="2" s="1"/>
  <c r="G106" i="2"/>
  <c r="H106" i="2" s="1"/>
  <c r="V105" i="2"/>
  <c r="W105" i="2" s="1"/>
  <c r="Q105" i="2"/>
  <c r="R105" i="2" s="1"/>
  <c r="L105" i="2"/>
  <c r="M105" i="2" s="1"/>
  <c r="G105" i="2"/>
  <c r="H105" i="2" s="1"/>
  <c r="V104" i="2"/>
  <c r="W104" i="2" s="1"/>
  <c r="L104" i="2"/>
  <c r="M104" i="2" s="1"/>
  <c r="F104" i="2"/>
  <c r="V102" i="2"/>
  <c r="W102" i="2" s="1"/>
  <c r="Q102" i="2"/>
  <c r="R102" i="2" s="1"/>
  <c r="L102" i="2"/>
  <c r="M102" i="2" s="1"/>
  <c r="G102" i="2"/>
  <c r="H102" i="2" s="1"/>
  <c r="V101" i="2"/>
  <c r="W101" i="2" s="1"/>
  <c r="Q101" i="2"/>
  <c r="R101" i="2" s="1"/>
  <c r="L101" i="2"/>
  <c r="M101" i="2" s="1"/>
  <c r="G101" i="2"/>
  <c r="H101" i="2" s="1"/>
  <c r="V100" i="2"/>
  <c r="W100" i="2" s="1"/>
  <c r="Q100" i="2"/>
  <c r="R100" i="2" s="1"/>
  <c r="L100" i="2"/>
  <c r="M100" i="2" s="1"/>
  <c r="G100" i="2"/>
  <c r="H100" i="2" s="1"/>
  <c r="V99" i="2"/>
  <c r="W99" i="2" s="1"/>
  <c r="Q99" i="2"/>
  <c r="R99" i="2" s="1"/>
  <c r="L99" i="2"/>
  <c r="M99" i="2" s="1"/>
  <c r="G99" i="2"/>
  <c r="H99" i="2" s="1"/>
  <c r="V98" i="2"/>
  <c r="W98" i="2" s="1"/>
  <c r="Q98" i="2"/>
  <c r="R98" i="2" s="1"/>
  <c r="L98" i="2"/>
  <c r="M98" i="2" s="1"/>
  <c r="G98" i="2"/>
  <c r="H98" i="2" s="1"/>
  <c r="V97" i="2"/>
  <c r="W97" i="2" s="1"/>
  <c r="Q97" i="2"/>
  <c r="R97" i="2" s="1"/>
  <c r="L97" i="2"/>
  <c r="M97" i="2" s="1"/>
  <c r="G97" i="2"/>
  <c r="H97" i="2" s="1"/>
  <c r="V96" i="2"/>
  <c r="W96" i="2" s="1"/>
  <c r="L96" i="2"/>
  <c r="M96" i="2" s="1"/>
  <c r="F96" i="2"/>
  <c r="V95" i="2"/>
  <c r="W95" i="2" s="1"/>
  <c r="Q95" i="2"/>
  <c r="R95" i="2" s="1"/>
  <c r="L95" i="2"/>
  <c r="M95" i="2" s="1"/>
  <c r="G95" i="2"/>
  <c r="H95" i="2" s="1"/>
  <c r="V94" i="2"/>
  <c r="W94" i="2" s="1"/>
  <c r="Q94" i="2"/>
  <c r="R94" i="2" s="1"/>
  <c r="L94" i="2"/>
  <c r="M94" i="2" s="1"/>
  <c r="G94" i="2"/>
  <c r="H94" i="2" s="1"/>
  <c r="V93" i="2"/>
  <c r="W93" i="2" s="1"/>
  <c r="Q93" i="2"/>
  <c r="R93" i="2" s="1"/>
  <c r="L93" i="2"/>
  <c r="M93" i="2" s="1"/>
  <c r="G93" i="2"/>
  <c r="H93" i="2" s="1"/>
  <c r="V92" i="2"/>
  <c r="W92" i="2" s="1"/>
  <c r="Q92" i="2"/>
  <c r="R92" i="2" s="1"/>
  <c r="L92" i="2"/>
  <c r="M92" i="2" s="1"/>
  <c r="G92" i="2"/>
  <c r="H92" i="2" s="1"/>
  <c r="V91" i="2"/>
  <c r="W91" i="2" s="1"/>
  <c r="Q91" i="2"/>
  <c r="R91" i="2" s="1"/>
  <c r="L91" i="2"/>
  <c r="M91" i="2" s="1"/>
  <c r="G91" i="2"/>
  <c r="H91" i="2" s="1"/>
  <c r="V90" i="2"/>
  <c r="W90" i="2" s="1"/>
  <c r="L90" i="2"/>
  <c r="M90" i="2" s="1"/>
  <c r="F90" i="2"/>
  <c r="G90" i="2" s="1"/>
  <c r="H90" i="2" s="1"/>
  <c r="V89" i="2"/>
  <c r="W89" i="2" s="1"/>
  <c r="Q89" i="2"/>
  <c r="R89" i="2" s="1"/>
  <c r="L89" i="2"/>
  <c r="M89" i="2" s="1"/>
  <c r="G89" i="2"/>
  <c r="H89" i="2" s="1"/>
  <c r="V88" i="2"/>
  <c r="W88" i="2" s="1"/>
  <c r="Q88" i="2"/>
  <c r="R88" i="2" s="1"/>
  <c r="L88" i="2"/>
  <c r="M88" i="2" s="1"/>
  <c r="G88" i="2"/>
  <c r="H88" i="2" s="1"/>
  <c r="V87" i="2"/>
  <c r="W87" i="2" s="1"/>
  <c r="Q87" i="2"/>
  <c r="R87" i="2" s="1"/>
  <c r="V86" i="2"/>
  <c r="W86" i="2" s="1"/>
  <c r="Q86" i="2"/>
  <c r="R86" i="2" s="1"/>
  <c r="L86" i="2"/>
  <c r="M86" i="2" s="1"/>
  <c r="G86" i="2"/>
  <c r="H86" i="2" s="1"/>
  <c r="V85" i="2"/>
  <c r="W85" i="2" s="1"/>
  <c r="Q85" i="2"/>
  <c r="R85" i="2" s="1"/>
  <c r="L85" i="2"/>
  <c r="M85" i="2" s="1"/>
  <c r="G85" i="2"/>
  <c r="H85" i="2" s="1"/>
  <c r="V84" i="2"/>
  <c r="W84" i="2" s="1"/>
  <c r="Q84" i="2"/>
  <c r="R84" i="2" s="1"/>
  <c r="L84" i="2"/>
  <c r="M84" i="2" s="1"/>
  <c r="G84" i="2"/>
  <c r="H84" i="2" s="1"/>
  <c r="V83" i="2"/>
  <c r="W83" i="2" s="1"/>
  <c r="Q83" i="2"/>
  <c r="R83" i="2" s="1"/>
  <c r="L83" i="2"/>
  <c r="M83" i="2" s="1"/>
  <c r="G83" i="2"/>
  <c r="H83" i="2" s="1"/>
  <c r="V82" i="2"/>
  <c r="W82" i="2" s="1"/>
  <c r="V74" i="2"/>
  <c r="W74" i="2" s="1"/>
  <c r="Q81" i="2"/>
  <c r="R81" i="2" s="1"/>
  <c r="L74" i="2"/>
  <c r="M74" i="2" s="1"/>
  <c r="F74" i="2"/>
  <c r="V80" i="2"/>
  <c r="W80" i="2" s="1"/>
  <c r="Q80" i="2"/>
  <c r="R80" i="2" s="1"/>
  <c r="L80" i="2"/>
  <c r="M80" i="2" s="1"/>
  <c r="G80" i="2"/>
  <c r="H80" i="2" s="1"/>
  <c r="V79" i="2"/>
  <c r="W79" i="2" s="1"/>
  <c r="Q79" i="2"/>
  <c r="R79" i="2" s="1"/>
  <c r="L79" i="2"/>
  <c r="M79" i="2" s="1"/>
  <c r="G79" i="2"/>
  <c r="H79" i="2" s="1"/>
  <c r="V78" i="2"/>
  <c r="W78" i="2" s="1"/>
  <c r="Q78" i="2"/>
  <c r="R78" i="2" s="1"/>
  <c r="L78" i="2"/>
  <c r="M78" i="2" s="1"/>
  <c r="G78" i="2"/>
  <c r="H78" i="2" s="1"/>
  <c r="V77" i="2"/>
  <c r="W77" i="2" s="1"/>
  <c r="Q77" i="2"/>
  <c r="R77" i="2" s="1"/>
  <c r="L77" i="2"/>
  <c r="M77" i="2" s="1"/>
  <c r="G77" i="2"/>
  <c r="H77" i="2" s="1"/>
  <c r="V76" i="2"/>
  <c r="W76" i="2" s="1"/>
  <c r="Q76" i="2"/>
  <c r="R76" i="2" s="1"/>
  <c r="L76" i="2"/>
  <c r="M76" i="2" s="1"/>
  <c r="G76" i="2"/>
  <c r="H76" i="2" s="1"/>
  <c r="V75" i="2"/>
  <c r="W75" i="2" s="1"/>
  <c r="Q75" i="2"/>
  <c r="R75" i="2" s="1"/>
  <c r="L75" i="2"/>
  <c r="M75" i="2" s="1"/>
  <c r="G75" i="2"/>
  <c r="H75" i="2" s="1"/>
  <c r="Q74" i="2"/>
  <c r="R74" i="2" s="1"/>
  <c r="V73" i="2"/>
  <c r="W73" i="2" s="1"/>
  <c r="Q73" i="2"/>
  <c r="R73" i="2" s="1"/>
  <c r="L73" i="2"/>
  <c r="M73" i="2" s="1"/>
  <c r="G73" i="2"/>
  <c r="H73" i="2" s="1"/>
  <c r="V72" i="2"/>
  <c r="W72" i="2" s="1"/>
  <c r="Q72" i="2"/>
  <c r="R72" i="2" s="1"/>
  <c r="L72" i="2"/>
  <c r="M72" i="2" s="1"/>
  <c r="G72" i="2"/>
  <c r="H72" i="2" s="1"/>
  <c r="V71" i="2"/>
  <c r="W71" i="2" s="1"/>
  <c r="Q71" i="2"/>
  <c r="R71" i="2" s="1"/>
  <c r="L71" i="2"/>
  <c r="M71" i="2" s="1"/>
  <c r="G71" i="2"/>
  <c r="H71" i="2" s="1"/>
  <c r="V70" i="2"/>
  <c r="W70" i="2" s="1"/>
  <c r="Q70" i="2"/>
  <c r="R70" i="2" s="1"/>
  <c r="L70" i="2"/>
  <c r="M70" i="2" s="1"/>
  <c r="G70" i="2"/>
  <c r="H70" i="2" s="1"/>
  <c r="V69" i="2"/>
  <c r="W69" i="2" s="1"/>
  <c r="Q69" i="2"/>
  <c r="R69" i="2" s="1"/>
  <c r="L69" i="2"/>
  <c r="M69" i="2" s="1"/>
  <c r="G69" i="2"/>
  <c r="H69" i="2" s="1"/>
  <c r="V68" i="2"/>
  <c r="W68" i="2" s="1"/>
  <c r="F68" i="2"/>
  <c r="V67" i="2"/>
  <c r="W67" i="2" s="1"/>
  <c r="Q67" i="2"/>
  <c r="R67" i="2" s="1"/>
  <c r="L67" i="2"/>
  <c r="M67" i="2" s="1"/>
  <c r="G67" i="2"/>
  <c r="H67" i="2" s="1"/>
  <c r="V65" i="2"/>
  <c r="W65" i="2" s="1"/>
  <c r="Q65" i="2"/>
  <c r="R65" i="2" s="1"/>
  <c r="V64" i="2"/>
  <c r="W64" i="2" s="1"/>
  <c r="Q64" i="2"/>
  <c r="R64" i="2" s="1"/>
  <c r="V63" i="2"/>
  <c r="W63" i="2" s="1"/>
  <c r="N63" i="2"/>
  <c r="M63" i="2"/>
  <c r="L63" i="2"/>
  <c r="I63" i="2"/>
  <c r="H63" i="2"/>
  <c r="G63" i="2"/>
  <c r="F63" i="2"/>
  <c r="V62" i="2"/>
  <c r="W62" i="2" s="1"/>
  <c r="Q62" i="2"/>
  <c r="R62" i="2" s="1"/>
  <c r="V61" i="2"/>
  <c r="W61" i="2" s="1"/>
  <c r="Q61" i="2"/>
  <c r="R61" i="2" s="1"/>
  <c r="N60" i="2"/>
  <c r="M60" i="2"/>
  <c r="L60" i="2"/>
  <c r="I60" i="2"/>
  <c r="H60" i="2"/>
  <c r="G60" i="2"/>
  <c r="F60" i="2"/>
  <c r="F59" i="2" s="1"/>
  <c r="V59" i="2"/>
  <c r="W59" i="2" s="1"/>
  <c r="V57" i="2"/>
  <c r="W57" i="2" s="1"/>
  <c r="Q57" i="2"/>
  <c r="R57" i="2" s="1"/>
  <c r="L57" i="2"/>
  <c r="M57" i="2" s="1"/>
  <c r="G57" i="2"/>
  <c r="H57" i="2" s="1"/>
  <c r="V56" i="2"/>
  <c r="W56" i="2" s="1"/>
  <c r="Q56" i="2"/>
  <c r="R56" i="2" s="1"/>
  <c r="L56" i="2"/>
  <c r="M56" i="2" s="1"/>
  <c r="G56" i="2"/>
  <c r="H56" i="2" s="1"/>
  <c r="V55" i="2"/>
  <c r="W55" i="2" s="1"/>
  <c r="Q55" i="2"/>
  <c r="R55" i="2" s="1"/>
  <c r="L55" i="2"/>
  <c r="M55" i="2" s="1"/>
  <c r="G55" i="2"/>
  <c r="H55" i="2" s="1"/>
  <c r="V54" i="2"/>
  <c r="W54" i="2" s="1"/>
  <c r="Q54" i="2"/>
  <c r="R54" i="2" s="1"/>
  <c r="L54" i="2"/>
  <c r="M54" i="2" s="1"/>
  <c r="G54" i="2"/>
  <c r="H54" i="2" s="1"/>
  <c r="V53" i="2"/>
  <c r="W53" i="2" s="1"/>
  <c r="Q53" i="2"/>
  <c r="R53" i="2" s="1"/>
  <c r="L53" i="2"/>
  <c r="M53" i="2" s="1"/>
  <c r="G53" i="2"/>
  <c r="H53" i="2" s="1"/>
  <c r="V52" i="2"/>
  <c r="W52" i="2" s="1"/>
  <c r="Q52" i="2"/>
  <c r="R52" i="2" s="1"/>
  <c r="L52" i="2"/>
  <c r="M52" i="2" s="1"/>
  <c r="F52" i="2"/>
  <c r="V51" i="2"/>
  <c r="W51" i="2" s="1"/>
  <c r="Q51" i="2"/>
  <c r="R51" i="2" s="1"/>
  <c r="L51" i="2"/>
  <c r="M51" i="2" s="1"/>
  <c r="G51" i="2"/>
  <c r="H51" i="2" s="1"/>
  <c r="V50" i="2"/>
  <c r="W50" i="2" s="1"/>
  <c r="L50" i="2"/>
  <c r="M50" i="2" s="1"/>
  <c r="V49" i="2"/>
  <c r="W49" i="2" s="1"/>
  <c r="Q49" i="2"/>
  <c r="R49" i="2" s="1"/>
  <c r="L49" i="2"/>
  <c r="M49" i="2" s="1"/>
  <c r="G49" i="2"/>
  <c r="H49" i="2" s="1"/>
  <c r="V48" i="2"/>
  <c r="W48" i="2" s="1"/>
  <c r="Q48" i="2"/>
  <c r="R48" i="2" s="1"/>
  <c r="L48" i="2"/>
  <c r="M48" i="2" s="1"/>
  <c r="G48" i="2"/>
  <c r="H48" i="2" s="1"/>
  <c r="V47" i="2"/>
  <c r="W47" i="2" s="1"/>
  <c r="Q47" i="2"/>
  <c r="R47" i="2" s="1"/>
  <c r="L47" i="2"/>
  <c r="M47" i="2" s="1"/>
  <c r="G47" i="2"/>
  <c r="H47" i="2" s="1"/>
  <c r="V46" i="2"/>
  <c r="W46" i="2" s="1"/>
  <c r="Q46" i="2"/>
  <c r="R46" i="2" s="1"/>
  <c r="L46" i="2"/>
  <c r="M46" i="2" s="1"/>
  <c r="G46" i="2"/>
  <c r="H46" i="2" s="1"/>
  <c r="V45" i="2"/>
  <c r="W45" i="2" s="1"/>
  <c r="Q45" i="2"/>
  <c r="R45" i="2" s="1"/>
  <c r="L45" i="2"/>
  <c r="M45" i="2" s="1"/>
  <c r="H45" i="2"/>
  <c r="G45" i="2"/>
  <c r="V44" i="2"/>
  <c r="W44" i="2" s="1"/>
  <c r="Q44" i="2"/>
  <c r="R44" i="2" s="1"/>
  <c r="L44" i="2"/>
  <c r="M44" i="2" s="1"/>
  <c r="G44" i="2"/>
  <c r="H44" i="2" s="1"/>
  <c r="V43" i="2"/>
  <c r="W43" i="2" s="1"/>
  <c r="Q43" i="2"/>
  <c r="R43" i="2" s="1"/>
  <c r="L43" i="2"/>
  <c r="M43" i="2" s="1"/>
  <c r="G43" i="2"/>
  <c r="H43" i="2" s="1"/>
  <c r="V42" i="2"/>
  <c r="W42" i="2" s="1"/>
  <c r="Q42" i="2"/>
  <c r="R42" i="2" s="1"/>
  <c r="L42" i="2"/>
  <c r="M42" i="2" s="1"/>
  <c r="G42" i="2"/>
  <c r="H42" i="2" s="1"/>
  <c r="V41" i="2"/>
  <c r="W41" i="2" s="1"/>
  <c r="Q41" i="2"/>
  <c r="R41" i="2" s="1"/>
  <c r="L41" i="2"/>
  <c r="M41" i="2" s="1"/>
  <c r="G41" i="2"/>
  <c r="H41" i="2" s="1"/>
  <c r="V40" i="2"/>
  <c r="W40" i="2" s="1"/>
  <c r="Q40" i="2"/>
  <c r="R40" i="2" s="1"/>
  <c r="L40" i="2"/>
  <c r="M40" i="2" s="1"/>
  <c r="G40" i="2"/>
  <c r="H40" i="2" s="1"/>
  <c r="V39" i="2"/>
  <c r="W39" i="2" s="1"/>
  <c r="Q39" i="2"/>
  <c r="R39" i="2" s="1"/>
  <c r="L39" i="2"/>
  <c r="M39" i="2" s="1"/>
  <c r="F39" i="2"/>
  <c r="G39" i="2" s="1"/>
  <c r="H39" i="2" s="1"/>
  <c r="V38" i="2"/>
  <c r="W38" i="2" s="1"/>
  <c r="Q38" i="2"/>
  <c r="R38" i="2" s="1"/>
  <c r="L38" i="2"/>
  <c r="M38" i="2" s="1"/>
  <c r="G38" i="2"/>
  <c r="H38" i="2" s="1"/>
  <c r="V36" i="2"/>
  <c r="W36" i="2" s="1"/>
  <c r="Q36" i="2"/>
  <c r="R36" i="2" s="1"/>
  <c r="L36" i="2"/>
  <c r="M36" i="2" s="1"/>
  <c r="G36" i="2"/>
  <c r="H36" i="2" s="1"/>
  <c r="Q35" i="2"/>
  <c r="R35" i="2" s="1"/>
  <c r="L35" i="2"/>
  <c r="M35" i="2" s="1"/>
  <c r="F35" i="2"/>
  <c r="L34" i="2"/>
  <c r="M34" i="2" s="1"/>
  <c r="L33" i="2"/>
  <c r="M33" i="2" s="1"/>
  <c r="V31" i="2"/>
  <c r="W31" i="2" s="1"/>
  <c r="Q31" i="2"/>
  <c r="R31" i="2" s="1"/>
  <c r="L31" i="2"/>
  <c r="M31" i="2" s="1"/>
  <c r="G31" i="2"/>
  <c r="H31" i="2" s="1"/>
  <c r="V30" i="2"/>
  <c r="W30" i="2" s="1"/>
  <c r="Q30" i="2"/>
  <c r="R30" i="2" s="1"/>
  <c r="L30" i="2"/>
  <c r="M30" i="2" s="1"/>
  <c r="G30" i="2"/>
  <c r="H30" i="2" s="1"/>
  <c r="V29" i="2"/>
  <c r="W29" i="2" s="1"/>
  <c r="Q29" i="2"/>
  <c r="R29" i="2" s="1"/>
  <c r="L29" i="2"/>
  <c r="M29" i="2" s="1"/>
  <c r="G29" i="2"/>
  <c r="H29" i="2" s="1"/>
  <c r="V28" i="2"/>
  <c r="W28" i="2" s="1"/>
  <c r="Q28" i="2"/>
  <c r="R28" i="2" s="1"/>
  <c r="L28" i="2"/>
  <c r="M28" i="2" s="1"/>
  <c r="G28" i="2"/>
  <c r="H28" i="2" s="1"/>
  <c r="V27" i="2"/>
  <c r="W27" i="2" s="1"/>
  <c r="Q27" i="2"/>
  <c r="R27" i="2" s="1"/>
  <c r="L27" i="2"/>
  <c r="M27" i="2" s="1"/>
  <c r="G27" i="2"/>
  <c r="H27" i="2" s="1"/>
  <c r="V26" i="2"/>
  <c r="W26" i="2" s="1"/>
  <c r="Q26" i="2"/>
  <c r="R26" i="2" s="1"/>
  <c r="L26" i="2"/>
  <c r="M26" i="2" s="1"/>
  <c r="G26" i="2"/>
  <c r="H26" i="2" s="1"/>
  <c r="V25" i="2"/>
  <c r="W25" i="2" s="1"/>
  <c r="Q25" i="2"/>
  <c r="R25" i="2" s="1"/>
  <c r="G25" i="2"/>
  <c r="H25" i="2" s="1"/>
  <c r="V24" i="2"/>
  <c r="W24" i="2" s="1"/>
  <c r="Q24" i="2"/>
  <c r="R24" i="2" s="1"/>
  <c r="L24" i="2"/>
  <c r="M24" i="2" s="1"/>
  <c r="G24" i="2"/>
  <c r="H24" i="2" s="1"/>
  <c r="V23" i="2"/>
  <c r="W23" i="2" s="1"/>
  <c r="L23" i="2"/>
  <c r="M23" i="2" s="1"/>
  <c r="G23" i="2"/>
  <c r="H23" i="2" s="1"/>
  <c r="V22" i="2"/>
  <c r="W22" i="2" s="1"/>
  <c r="F22" i="2"/>
  <c r="V21" i="2"/>
  <c r="W21" i="2" s="1"/>
  <c r="Q21" i="2"/>
  <c r="R21" i="2" s="1"/>
  <c r="L21" i="2"/>
  <c r="M21" i="2" s="1"/>
  <c r="G21" i="2"/>
  <c r="H21" i="2" s="1"/>
  <c r="V20" i="2"/>
  <c r="W20" i="2" s="1"/>
  <c r="Q20" i="2"/>
  <c r="R20" i="2" s="1"/>
  <c r="L20" i="2"/>
  <c r="M20" i="2" s="1"/>
  <c r="G20" i="2"/>
  <c r="H20" i="2" s="1"/>
  <c r="V19" i="2"/>
  <c r="W19" i="2" s="1"/>
  <c r="L19" i="2"/>
  <c r="M19" i="2" s="1"/>
  <c r="F19" i="2"/>
  <c r="V18" i="2"/>
  <c r="W18" i="2" s="1"/>
  <c r="Q18" i="2"/>
  <c r="R18" i="2" s="1"/>
  <c r="L18" i="2"/>
  <c r="M18" i="2" s="1"/>
  <c r="G18" i="2"/>
  <c r="H18" i="2" s="1"/>
  <c r="V17" i="2"/>
  <c r="W17" i="2" s="1"/>
  <c r="Q17" i="2"/>
  <c r="R17" i="2" s="1"/>
  <c r="L17" i="2"/>
  <c r="M17" i="2" s="1"/>
  <c r="G17" i="2"/>
  <c r="H17" i="2" s="1"/>
  <c r="V16" i="2"/>
  <c r="W16" i="2" s="1"/>
  <c r="F16" i="2"/>
  <c r="V15" i="2"/>
  <c r="W15" i="2" s="1"/>
  <c r="Q15" i="2"/>
  <c r="R15" i="2" s="1"/>
  <c r="L15" i="2"/>
  <c r="M15" i="2" s="1"/>
  <c r="G15" i="2"/>
  <c r="H15" i="2" s="1"/>
  <c r="V14" i="2"/>
  <c r="W14" i="2" s="1"/>
  <c r="V13" i="2"/>
  <c r="W13" i="2" s="1"/>
  <c r="Q14" i="2"/>
  <c r="R14" i="2" s="1"/>
  <c r="L13" i="2"/>
  <c r="M13" i="2" s="1"/>
  <c r="F13" i="2"/>
  <c r="G14" i="2"/>
  <c r="H14" i="2" s="1"/>
  <c r="V12" i="2"/>
  <c r="W12" i="2" s="1"/>
  <c r="Q12" i="2"/>
  <c r="R12" i="2" s="1"/>
  <c r="L12" i="2"/>
  <c r="M12" i="2" s="1"/>
  <c r="G12" i="2"/>
  <c r="H12" i="2" s="1"/>
  <c r="V11" i="2"/>
  <c r="W11" i="2" s="1"/>
  <c r="Q11" i="2"/>
  <c r="R11" i="2" s="1"/>
  <c r="L11" i="2"/>
  <c r="M11" i="2" s="1"/>
  <c r="G11" i="2"/>
  <c r="H11" i="2" s="1"/>
  <c r="V10" i="2"/>
  <c r="W10" i="2" s="1"/>
  <c r="F10" i="2"/>
  <c r="G10" i="2"/>
  <c r="H10" i="2" s="1"/>
  <c r="V9" i="2"/>
  <c r="W9" i="2" s="1"/>
  <c r="Q9" i="2"/>
  <c r="R9" i="2" s="1"/>
  <c r="L9" i="2"/>
  <c r="M9" i="2" s="1"/>
  <c r="G9" i="2"/>
  <c r="H9" i="2" s="1"/>
  <c r="V8" i="2"/>
  <c r="W8" i="2" s="1"/>
  <c r="Q8" i="2"/>
  <c r="R8" i="2" s="1"/>
  <c r="L8" i="2"/>
  <c r="M8" i="2" s="1"/>
  <c r="G8" i="2"/>
  <c r="H8" i="2" s="1"/>
  <c r="V7" i="2"/>
  <c r="W7" i="2" s="1"/>
  <c r="Q7" i="2"/>
  <c r="R7" i="2" s="1"/>
  <c r="L7" i="2"/>
  <c r="M7" i="2" s="1"/>
  <c r="G7" i="2"/>
  <c r="H7" i="2" s="1"/>
  <c r="V6" i="2"/>
  <c r="W6" i="2" s="1"/>
  <c r="L6" i="2"/>
  <c r="M6" i="2" s="1"/>
  <c r="G6" i="2"/>
  <c r="H6" i="2" s="1"/>
  <c r="F5" i="2"/>
  <c r="Q38" i="9" l="1"/>
  <c r="R38" i="9" s="1"/>
  <c r="G74" i="2"/>
  <c r="H74" i="2" s="1"/>
  <c r="G5" i="2"/>
  <c r="H5" i="2" s="1"/>
  <c r="Q60" i="2"/>
  <c r="R60" i="2" s="1"/>
  <c r="Q82" i="2"/>
  <c r="R82" i="2" s="1"/>
  <c r="G132" i="2"/>
  <c r="H132" i="2" s="1"/>
  <c r="G170" i="2"/>
  <c r="H170" i="2" s="1"/>
  <c r="G16" i="2"/>
  <c r="H16" i="2" s="1"/>
  <c r="Q68" i="2"/>
  <c r="R68" i="2" s="1"/>
  <c r="Q104" i="2"/>
  <c r="R104" i="2" s="1"/>
  <c r="L154" i="2"/>
  <c r="M154" i="2" s="1"/>
  <c r="G13" i="2"/>
  <c r="H13" i="2" s="1"/>
  <c r="Q16" i="2"/>
  <c r="R16" i="2" s="1"/>
  <c r="F130" i="2"/>
  <c r="F129" i="2" s="1"/>
  <c r="G38" i="9"/>
  <c r="H38" i="9" s="1"/>
  <c r="G87" i="2"/>
  <c r="H87" i="2" s="1"/>
  <c r="F4" i="2"/>
  <c r="F3" i="2" s="1"/>
  <c r="F163" i="2" s="1"/>
  <c r="G163" i="2" s="1"/>
  <c r="H163" i="2" s="1"/>
  <c r="L156" i="2"/>
  <c r="M156" i="2" s="1"/>
  <c r="L59" i="2"/>
  <c r="M59" i="2" s="1"/>
  <c r="G146" i="2"/>
  <c r="H146" i="2" s="1"/>
  <c r="G81" i="2"/>
  <c r="H81" i="2" s="1"/>
  <c r="L14" i="2"/>
  <c r="M14" i="2" s="1"/>
  <c r="G19" i="2"/>
  <c r="H19" i="2" s="1"/>
  <c r="Q19" i="2"/>
  <c r="R19" i="2" s="1"/>
  <c r="F103" i="2"/>
  <c r="G140" i="2"/>
  <c r="H140" i="2" s="1"/>
  <c r="L146" i="2"/>
  <c r="M146" i="2" s="1"/>
  <c r="F164" i="2"/>
  <c r="G164" i="2" s="1"/>
  <c r="H164" i="2" s="1"/>
  <c r="Q115" i="2"/>
  <c r="R115" i="2" s="1"/>
  <c r="Q66" i="2"/>
  <c r="R66" i="2" s="1"/>
  <c r="Q50" i="2"/>
  <c r="R50" i="2" s="1"/>
  <c r="L140" i="2"/>
  <c r="M140" i="2" s="1"/>
  <c r="L164" i="2"/>
  <c r="M164" i="2" s="1"/>
  <c r="L68" i="2"/>
  <c r="M68" i="2" s="1"/>
  <c r="F82" i="2"/>
  <c r="G82" i="2" s="1"/>
  <c r="H82" i="2" s="1"/>
  <c r="Q90" i="2"/>
  <c r="R90" i="2" s="1"/>
  <c r="Q96" i="2"/>
  <c r="R96" i="2" s="1"/>
  <c r="U17" i="9"/>
  <c r="V18" i="9"/>
  <c r="W18" i="9" s="1"/>
  <c r="L18" i="9"/>
  <c r="M18" i="9" s="1"/>
  <c r="K17" i="9"/>
  <c r="P19" i="5"/>
  <c r="Q5" i="5"/>
  <c r="R5" i="5" s="1"/>
  <c r="U5" i="5"/>
  <c r="V6" i="5"/>
  <c r="W6" i="5" s="1"/>
  <c r="L5" i="5"/>
  <c r="M5" i="5" s="1"/>
  <c r="J19" i="5"/>
  <c r="L19" i="5" s="1"/>
  <c r="M19" i="5" s="1"/>
  <c r="K47" i="11"/>
  <c r="L47" i="11" s="1"/>
  <c r="M47" i="11" s="1"/>
  <c r="L25" i="11"/>
  <c r="M25" i="11" s="1"/>
  <c r="P82" i="11"/>
  <c r="Q82" i="11" s="1"/>
  <c r="R82" i="11" s="1"/>
  <c r="Q83" i="11"/>
  <c r="R83" i="11" s="1"/>
  <c r="G59" i="11"/>
  <c r="H59" i="11" s="1"/>
  <c r="F80" i="11"/>
  <c r="G80" i="11" s="1"/>
  <c r="H80" i="11" s="1"/>
  <c r="P80" i="11"/>
  <c r="Q80" i="11" s="1"/>
  <c r="R80" i="11" s="1"/>
  <c r="Q59" i="11"/>
  <c r="R59" i="11" s="1"/>
  <c r="K59" i="11"/>
  <c r="K84" i="11"/>
  <c r="L84" i="11" s="1"/>
  <c r="M84" i="11" s="1"/>
  <c r="L70" i="11"/>
  <c r="M70" i="11" s="1"/>
  <c r="U84" i="11"/>
  <c r="V84" i="11" s="1"/>
  <c r="W84" i="11" s="1"/>
  <c r="V70" i="11"/>
  <c r="W70" i="11" s="1"/>
  <c r="V83" i="11"/>
  <c r="W83" i="11" s="1"/>
  <c r="Q47" i="11"/>
  <c r="R47" i="11" s="1"/>
  <c r="L83" i="11"/>
  <c r="M83" i="11" s="1"/>
  <c r="F47" i="11"/>
  <c r="G47" i="11" s="1"/>
  <c r="H47" i="11" s="1"/>
  <c r="G25" i="11"/>
  <c r="H25" i="11" s="1"/>
  <c r="U47" i="11"/>
  <c r="V47" i="11" s="1"/>
  <c r="W47" i="11" s="1"/>
  <c r="V25" i="11"/>
  <c r="W25" i="11" s="1"/>
  <c r="Q25" i="11"/>
  <c r="R25" i="11" s="1"/>
  <c r="F82" i="11"/>
  <c r="G82" i="11" s="1"/>
  <c r="H82" i="11" s="1"/>
  <c r="G83" i="11"/>
  <c r="H83" i="11" s="1"/>
  <c r="U59" i="11"/>
  <c r="P17" i="12"/>
  <c r="P20" i="12" s="1"/>
  <c r="Q15" i="12"/>
  <c r="F17" i="12"/>
  <c r="F20" i="12" s="1"/>
  <c r="G15" i="12"/>
  <c r="K17" i="12"/>
  <c r="K20" i="12" s="1"/>
  <c r="L15" i="12"/>
  <c r="U20" i="12"/>
  <c r="V20" i="12" s="1"/>
  <c r="W20" i="12" s="1"/>
  <c r="V17" i="12"/>
  <c r="W17" i="12" s="1"/>
  <c r="V5" i="2"/>
  <c r="W5" i="2" s="1"/>
  <c r="L4" i="2"/>
  <c r="M4" i="2" s="1"/>
  <c r="Q10" i="2"/>
  <c r="R10" i="2" s="1"/>
  <c r="G22" i="2"/>
  <c r="H22" i="2" s="1"/>
  <c r="L22" i="2"/>
  <c r="M22" i="2" s="1"/>
  <c r="L5" i="2"/>
  <c r="M5" i="2" s="1"/>
  <c r="L16" i="2"/>
  <c r="M16" i="2" s="1"/>
  <c r="Q5" i="2"/>
  <c r="R5" i="2" s="1"/>
  <c r="L10" i="2"/>
  <c r="M10" i="2" s="1"/>
  <c r="Q13" i="2"/>
  <c r="R13" i="2" s="1"/>
  <c r="F34" i="2"/>
  <c r="G35" i="2"/>
  <c r="H35" i="2" s="1"/>
  <c r="V170" i="2"/>
  <c r="W170" i="2" s="1"/>
  <c r="V164" i="2"/>
  <c r="W164" i="2" s="1"/>
  <c r="G59" i="2"/>
  <c r="H59" i="2" s="1"/>
  <c r="Q63" i="2"/>
  <c r="R63" i="2" s="1"/>
  <c r="Q119" i="2"/>
  <c r="R119" i="2" s="1"/>
  <c r="Q6" i="2"/>
  <c r="R6" i="2" s="1"/>
  <c r="G68" i="2"/>
  <c r="H68" i="2" s="1"/>
  <c r="F50" i="2"/>
  <c r="G50" i="2" s="1"/>
  <c r="H50" i="2" s="1"/>
  <c r="G52" i="2"/>
  <c r="H52" i="2" s="1"/>
  <c r="L114" i="2"/>
  <c r="M114" i="2" s="1"/>
  <c r="V81" i="2"/>
  <c r="W81" i="2" s="1"/>
  <c r="V35" i="2"/>
  <c r="W35" i="2" s="1"/>
  <c r="L130" i="2"/>
  <c r="M130" i="2" s="1"/>
  <c r="L115" i="2"/>
  <c r="M115" i="2" s="1"/>
  <c r="G129" i="2"/>
  <c r="H129" i="2" s="1"/>
  <c r="V66" i="2"/>
  <c r="W66" i="2" s="1"/>
  <c r="Q34" i="2"/>
  <c r="R34" i="2" s="1"/>
  <c r="G162" i="2"/>
  <c r="H162" i="2" s="1"/>
  <c r="F154" i="2"/>
  <c r="G154" i="2" s="1"/>
  <c r="H154" i="2" s="1"/>
  <c r="G130" i="2"/>
  <c r="H130" i="2" s="1"/>
  <c r="L103" i="2"/>
  <c r="M103" i="2" s="1"/>
  <c r="V129" i="2"/>
  <c r="W129" i="2" s="1"/>
  <c r="V130" i="2"/>
  <c r="W130" i="2" s="1"/>
  <c r="G96" i="2"/>
  <c r="H96" i="2" s="1"/>
  <c r="Q109" i="2"/>
  <c r="R109" i="2" s="1"/>
  <c r="V103" i="2"/>
  <c r="W103" i="2" s="1"/>
  <c r="Q114" i="2"/>
  <c r="R114" i="2" s="1"/>
  <c r="V115" i="2"/>
  <c r="W115" i="2" s="1"/>
  <c r="G119" i="2"/>
  <c r="H119" i="2" s="1"/>
  <c r="L81" i="2"/>
  <c r="M81" i="2" s="1"/>
  <c r="L82" i="2"/>
  <c r="M82" i="2" s="1"/>
  <c r="L87" i="2"/>
  <c r="M87" i="2" s="1"/>
  <c r="Q162" i="2"/>
  <c r="R162" i="2" s="1"/>
  <c r="G103" i="2"/>
  <c r="H103" i="2" s="1"/>
  <c r="Q23" i="2"/>
  <c r="R23" i="2" s="1"/>
  <c r="Q22" i="2"/>
  <c r="R22" i="2" s="1"/>
  <c r="V60" i="2"/>
  <c r="W60" i="2" s="1"/>
  <c r="G104" i="2"/>
  <c r="H104" i="2" s="1"/>
  <c r="G115" i="2"/>
  <c r="H115" i="2" s="1"/>
  <c r="Q146" i="2"/>
  <c r="R146" i="2" s="1"/>
  <c r="Q164" i="2"/>
  <c r="R164" i="2" s="1"/>
  <c r="Q165" i="2"/>
  <c r="R165" i="2" s="1"/>
  <c r="L66" i="2"/>
  <c r="M66" i="2" s="1"/>
  <c r="F66" i="2" l="1"/>
  <c r="F58" i="2" s="1"/>
  <c r="G58" i="2" s="1"/>
  <c r="H58" i="2" s="1"/>
  <c r="Q103" i="2"/>
  <c r="R103" i="2" s="1"/>
  <c r="Q33" i="2"/>
  <c r="R33" i="2" s="1"/>
  <c r="V4" i="2"/>
  <c r="W4" i="2" s="1"/>
  <c r="G3" i="2"/>
  <c r="H3" i="2" s="1"/>
  <c r="K38" i="9"/>
  <c r="L38" i="9" s="1"/>
  <c r="M38" i="9" s="1"/>
  <c r="L17" i="9"/>
  <c r="M17" i="9" s="1"/>
  <c r="V17" i="9"/>
  <c r="W17" i="9" s="1"/>
  <c r="U38" i="9"/>
  <c r="V38" i="9" s="1"/>
  <c r="W38" i="9" s="1"/>
  <c r="V5" i="5"/>
  <c r="W5" i="5" s="1"/>
  <c r="U19" i="5"/>
  <c r="P47" i="5"/>
  <c r="Q47" i="5" s="1"/>
  <c r="R47" i="5" s="1"/>
  <c r="Q19" i="5"/>
  <c r="R19" i="5" s="1"/>
  <c r="K80" i="11"/>
  <c r="L80" i="11" s="1"/>
  <c r="M80" i="11" s="1"/>
  <c r="L59" i="11"/>
  <c r="M59" i="11" s="1"/>
  <c r="V59" i="11"/>
  <c r="W59" i="11" s="1"/>
  <c r="U80" i="11"/>
  <c r="V80" i="11" s="1"/>
  <c r="W80" i="11" s="1"/>
  <c r="K82" i="11"/>
  <c r="L82" i="11" s="1"/>
  <c r="M82" i="11" s="1"/>
  <c r="U82" i="11"/>
  <c r="V82" i="11" s="1"/>
  <c r="W82" i="11" s="1"/>
  <c r="G17" i="12"/>
  <c r="H15" i="12"/>
  <c r="M15" i="12"/>
  <c r="L17" i="12"/>
  <c r="Q17" i="12"/>
  <c r="R15" i="12"/>
  <c r="G4" i="2"/>
  <c r="H4" i="2" s="1"/>
  <c r="Q59" i="2"/>
  <c r="R59" i="2" s="1"/>
  <c r="Q130" i="2"/>
  <c r="R130" i="2" s="1"/>
  <c r="Q129" i="2"/>
  <c r="R129" i="2" s="1"/>
  <c r="L3" i="2"/>
  <c r="M3" i="2" s="1"/>
  <c r="L163" i="2"/>
  <c r="M163" i="2" s="1"/>
  <c r="V163" i="2"/>
  <c r="W163" i="2" s="1"/>
  <c r="V3" i="2"/>
  <c r="W3" i="2" s="1"/>
  <c r="V58" i="2"/>
  <c r="W58" i="2" s="1"/>
  <c r="V34" i="2"/>
  <c r="W34" i="2" s="1"/>
  <c r="L129" i="2"/>
  <c r="M129" i="2" s="1"/>
  <c r="G34" i="2"/>
  <c r="H34" i="2" s="1"/>
  <c r="F33" i="2"/>
  <c r="G66" i="2" l="1"/>
  <c r="H66" i="2" s="1"/>
  <c r="V19" i="5"/>
  <c r="W19" i="5" s="1"/>
  <c r="U47" i="5"/>
  <c r="V47" i="5" s="1"/>
  <c r="W47" i="5" s="1"/>
  <c r="M17" i="12"/>
  <c r="L20" i="12"/>
  <c r="M20" i="12" s="1"/>
  <c r="Q20" i="12"/>
  <c r="R20" i="12" s="1"/>
  <c r="R17" i="12"/>
  <c r="H17" i="12"/>
  <c r="G20" i="12"/>
  <c r="H20" i="12" s="1"/>
  <c r="G33" i="2"/>
  <c r="H33" i="2" s="1"/>
  <c r="F32" i="2"/>
  <c r="Q4" i="2"/>
  <c r="R4" i="2" s="1"/>
  <c r="L58" i="2"/>
  <c r="M58" i="2" s="1"/>
  <c r="V33" i="2"/>
  <c r="W33" i="2" s="1"/>
  <c r="Q3" i="2" l="1"/>
  <c r="R3" i="2" s="1"/>
  <c r="Q163" i="2"/>
  <c r="R163" i="2" s="1"/>
  <c r="F144" i="2"/>
  <c r="G32" i="2"/>
  <c r="H32" i="2" s="1"/>
  <c r="Q58" i="2"/>
  <c r="R58" i="2" s="1"/>
  <c r="V32" i="2"/>
  <c r="W32" i="2" s="1"/>
  <c r="L32" i="2"/>
  <c r="M32" i="2" s="1"/>
  <c r="V144" i="2" l="1"/>
  <c r="W144" i="2" s="1"/>
  <c r="V172" i="2"/>
  <c r="W172" i="2" s="1"/>
  <c r="L172" i="2"/>
  <c r="M172" i="2" s="1"/>
  <c r="L144" i="2"/>
  <c r="M144" i="2" s="1"/>
  <c r="Q32" i="2"/>
  <c r="R32" i="2" s="1"/>
  <c r="G144" i="2"/>
  <c r="H144" i="2" s="1"/>
  <c r="F172" i="2"/>
  <c r="G172" i="2" s="1"/>
  <c r="H172" i="2" s="1"/>
  <c r="F145" i="2"/>
  <c r="L145" i="2" l="1"/>
  <c r="M145" i="2" s="1"/>
  <c r="G145" i="2"/>
  <c r="H145" i="2" s="1"/>
  <c r="F153" i="2"/>
  <c r="Q172" i="2"/>
  <c r="R172" i="2" s="1"/>
  <c r="Q144" i="2"/>
  <c r="R144" i="2" s="1"/>
  <c r="V145" i="2"/>
  <c r="W145" i="2" s="1"/>
  <c r="V173" i="2" l="1"/>
  <c r="W173" i="2" s="1"/>
  <c r="V153" i="2"/>
  <c r="W153" i="2" s="1"/>
  <c r="Q145" i="2"/>
  <c r="R145" i="2" s="1"/>
  <c r="F173" i="2"/>
  <c r="G173" i="2" s="1"/>
  <c r="H173" i="2" s="1"/>
  <c r="G153" i="2"/>
  <c r="H153" i="2" s="1"/>
  <c r="L153" i="2"/>
  <c r="M153" i="2" s="1"/>
  <c r="L173" i="2"/>
  <c r="M173" i="2" s="1"/>
  <c r="Q173" i="2" l="1"/>
  <c r="R173" i="2" s="1"/>
  <c r="Q153" i="2"/>
  <c r="R153" i="2" s="1"/>
  <c r="R42" i="10" l="1"/>
  <c r="R43" i="10"/>
  <c r="R44" i="10"/>
  <c r="R45" i="10"/>
  <c r="R46" i="10"/>
  <c r="R48" i="10"/>
  <c r="R49" i="10"/>
  <c r="R50" i="10"/>
  <c r="R51" i="10"/>
  <c r="R52" i="10"/>
  <c r="R55" i="10"/>
  <c r="R86" i="10"/>
  <c r="Q72" i="10" l="1"/>
  <c r="Q60" i="10"/>
  <c r="Q84" i="10" l="1"/>
  <c r="R84" i="10" s="1"/>
  <c r="L84" i="10" l="1"/>
  <c r="M84" i="10" s="1"/>
  <c r="L85" i="10"/>
  <c r="L86" i="10"/>
  <c r="E66" i="10" l="1"/>
  <c r="E72" i="10" s="1"/>
  <c r="E54" i="10"/>
  <c r="E60" i="10" s="1"/>
  <c r="G84" i="10" l="1"/>
  <c r="H84" i="10" s="1"/>
  <c r="G85" i="10"/>
  <c r="H85" i="10" s="1"/>
  <c r="G87" i="10" l="1"/>
  <c r="H87" i="10" s="1"/>
  <c r="L87" i="10"/>
  <c r="M87" i="10" s="1"/>
  <c r="V91" i="10" l="1"/>
  <c r="W91" i="10" s="1"/>
  <c r="V89" i="10"/>
  <c r="W89" i="10" s="1"/>
  <c r="V88" i="10"/>
  <c r="W88" i="10" s="1"/>
  <c r="V87" i="10"/>
  <c r="W87" i="10" s="1"/>
  <c r="V86" i="10"/>
  <c r="W86" i="10" s="1"/>
  <c r="V85" i="10"/>
  <c r="W85" i="10" s="1"/>
  <c r="V84" i="10"/>
  <c r="W84" i="10" s="1"/>
  <c r="V82" i="10"/>
  <c r="W82" i="10" s="1"/>
  <c r="V81" i="10"/>
  <c r="W81" i="10" s="1"/>
  <c r="V80" i="10"/>
  <c r="W80" i="10" s="1"/>
  <c r="V79" i="10"/>
  <c r="W79" i="10" s="1"/>
  <c r="V77" i="10"/>
  <c r="W77" i="10" s="1"/>
  <c r="V76" i="10"/>
  <c r="W76" i="10" s="1"/>
  <c r="V75" i="10"/>
  <c r="W75" i="10" s="1"/>
  <c r="V74" i="10"/>
  <c r="W74" i="10" s="1"/>
  <c r="V73" i="10"/>
  <c r="W73" i="10" s="1"/>
  <c r="V71" i="10"/>
  <c r="W71" i="10" s="1"/>
  <c r="V70" i="10"/>
  <c r="W70" i="10" s="1"/>
  <c r="V69" i="10"/>
  <c r="W69" i="10" s="1"/>
  <c r="V68" i="10"/>
  <c r="W68" i="10" s="1"/>
  <c r="V67" i="10"/>
  <c r="W67" i="10" s="1"/>
  <c r="V65" i="10"/>
  <c r="W65" i="10" s="1"/>
  <c r="V64" i="10"/>
  <c r="W64" i="10" s="1"/>
  <c r="V63" i="10"/>
  <c r="W63" i="10" s="1"/>
  <c r="V62" i="10"/>
  <c r="W62" i="10" s="1"/>
  <c r="V61" i="10"/>
  <c r="W61" i="10" s="1"/>
  <c r="V59" i="10"/>
  <c r="W59" i="10" s="1"/>
  <c r="V58" i="10"/>
  <c r="W58" i="10" s="1"/>
  <c r="V57" i="10"/>
  <c r="W57" i="10" s="1"/>
  <c r="V56" i="10"/>
  <c r="W56" i="10" s="1"/>
  <c r="V55" i="10"/>
  <c r="W55" i="10" s="1"/>
  <c r="V52" i="10"/>
  <c r="W52" i="10" s="1"/>
  <c r="V51" i="10"/>
  <c r="W51" i="10" s="1"/>
  <c r="V50" i="10"/>
  <c r="W50" i="10" s="1"/>
  <c r="V49" i="10"/>
  <c r="W49" i="10" s="1"/>
  <c r="V48" i="10"/>
  <c r="W48" i="10" s="1"/>
  <c r="V46" i="10"/>
  <c r="W46" i="10" s="1"/>
  <c r="V45" i="10"/>
  <c r="W45" i="10" s="1"/>
  <c r="V44" i="10"/>
  <c r="W44" i="10" s="1"/>
  <c r="V43" i="10"/>
  <c r="W43" i="10" s="1"/>
  <c r="V42" i="10"/>
  <c r="W42" i="10" s="1"/>
  <c r="Q89" i="10"/>
  <c r="R89" i="10" s="1"/>
  <c r="Q88" i="10"/>
  <c r="R88" i="10" s="1"/>
  <c r="Q87" i="10"/>
  <c r="R87" i="10" s="1"/>
  <c r="Q86" i="10"/>
  <c r="Q85" i="10"/>
  <c r="R85" i="10" s="1"/>
  <c r="Q82" i="10"/>
  <c r="R82" i="10" s="1"/>
  <c r="Q81" i="10"/>
  <c r="R81" i="10" s="1"/>
  <c r="Q80" i="10"/>
  <c r="R80" i="10" s="1"/>
  <c r="Q79" i="10"/>
  <c r="R79" i="10" s="1"/>
  <c r="Q77" i="10"/>
  <c r="R77" i="10" s="1"/>
  <c r="Q76" i="10"/>
  <c r="R76" i="10" s="1"/>
  <c r="Q75" i="10"/>
  <c r="R75" i="10" s="1"/>
  <c r="Q74" i="10"/>
  <c r="R74" i="10" s="1"/>
  <c r="Q73" i="10"/>
  <c r="R73" i="10" s="1"/>
  <c r="Q71" i="10"/>
  <c r="R71" i="10" s="1"/>
  <c r="Q70" i="10"/>
  <c r="R70" i="10" s="1"/>
  <c r="Q69" i="10"/>
  <c r="R69" i="10" s="1"/>
  <c r="Q68" i="10"/>
  <c r="R68" i="10" s="1"/>
  <c r="Q67" i="10"/>
  <c r="R67" i="10" s="1"/>
  <c r="Q65" i="10"/>
  <c r="R65" i="10" s="1"/>
  <c r="Q64" i="10"/>
  <c r="R64" i="10" s="1"/>
  <c r="Q63" i="10"/>
  <c r="R63" i="10" s="1"/>
  <c r="Q62" i="10"/>
  <c r="R62" i="10" s="1"/>
  <c r="Q61" i="10"/>
  <c r="R61" i="10" s="1"/>
  <c r="Q59" i="10"/>
  <c r="R59" i="10" s="1"/>
  <c r="Q58" i="10"/>
  <c r="R58" i="10" s="1"/>
  <c r="Q57" i="10"/>
  <c r="R57" i="10" s="1"/>
  <c r="Q56" i="10"/>
  <c r="R56" i="10" s="1"/>
  <c r="Q55" i="10"/>
  <c r="Q52" i="10"/>
  <c r="Q51" i="10"/>
  <c r="Q50" i="10"/>
  <c r="Q49" i="10"/>
  <c r="Q48" i="10"/>
  <c r="Q46" i="10"/>
  <c r="Q45" i="10"/>
  <c r="Q44" i="10"/>
  <c r="Q43" i="10"/>
  <c r="Q42" i="10"/>
  <c r="L89" i="10"/>
  <c r="M89" i="10" s="1"/>
  <c r="L88" i="10"/>
  <c r="M88" i="10" s="1"/>
  <c r="M86" i="10"/>
  <c r="M85" i="10"/>
  <c r="L82" i="10"/>
  <c r="M82" i="10" s="1"/>
  <c r="L81" i="10"/>
  <c r="M81" i="10" s="1"/>
  <c r="L80" i="10"/>
  <c r="M80" i="10" s="1"/>
  <c r="L79" i="10"/>
  <c r="M79" i="10" s="1"/>
  <c r="L77" i="10"/>
  <c r="M77" i="10" s="1"/>
  <c r="L76" i="10"/>
  <c r="M76" i="10" s="1"/>
  <c r="L75" i="10"/>
  <c r="M75" i="10" s="1"/>
  <c r="L74" i="10"/>
  <c r="M74" i="10" s="1"/>
  <c r="L73" i="10"/>
  <c r="M73" i="10" s="1"/>
  <c r="L71" i="10"/>
  <c r="M71" i="10" s="1"/>
  <c r="L70" i="10"/>
  <c r="M70" i="10" s="1"/>
  <c r="L69" i="10"/>
  <c r="M69" i="10" s="1"/>
  <c r="L68" i="10"/>
  <c r="M68" i="10" s="1"/>
  <c r="L67" i="10"/>
  <c r="M67" i="10" s="1"/>
  <c r="L65" i="10"/>
  <c r="M65" i="10" s="1"/>
  <c r="L64" i="10"/>
  <c r="M64" i="10" s="1"/>
  <c r="L63" i="10"/>
  <c r="M63" i="10" s="1"/>
  <c r="L62" i="10"/>
  <c r="M62" i="10" s="1"/>
  <c r="L61" i="10"/>
  <c r="M61" i="10" s="1"/>
  <c r="L59" i="10"/>
  <c r="M59" i="10" s="1"/>
  <c r="L58" i="10"/>
  <c r="M58" i="10" s="1"/>
  <c r="L57" i="10"/>
  <c r="M57" i="10" s="1"/>
  <c r="L56" i="10"/>
  <c r="M56" i="10" s="1"/>
  <c r="L55" i="10"/>
  <c r="M55" i="10" s="1"/>
  <c r="L52" i="10"/>
  <c r="M52" i="10" s="1"/>
  <c r="L51" i="10"/>
  <c r="M51" i="10" s="1"/>
  <c r="L50" i="10"/>
  <c r="M50" i="10" s="1"/>
  <c r="L49" i="10"/>
  <c r="M49" i="10" s="1"/>
  <c r="L48" i="10"/>
  <c r="M48" i="10" s="1"/>
  <c r="L46" i="10"/>
  <c r="M46" i="10" s="1"/>
  <c r="L45" i="10"/>
  <c r="M45" i="10" s="1"/>
  <c r="L44" i="10"/>
  <c r="M44" i="10" s="1"/>
  <c r="L43" i="10"/>
  <c r="M43" i="10" s="1"/>
  <c r="L42" i="10"/>
  <c r="M42" i="10" s="1"/>
  <c r="R72" i="10" l="1"/>
  <c r="V66" i="10"/>
  <c r="W66" i="10" s="1"/>
  <c r="V54" i="10"/>
  <c r="W54" i="10" s="1"/>
  <c r="L66" i="10"/>
  <c r="M66" i="10" s="1"/>
  <c r="W72" i="10"/>
  <c r="W60" i="10"/>
  <c r="Q54" i="10"/>
  <c r="R54" i="10" s="1"/>
  <c r="L54" i="10"/>
  <c r="M54" i="10" s="1"/>
  <c r="M60" i="10"/>
  <c r="Q66" i="10"/>
  <c r="R66" i="10" s="1"/>
  <c r="R60" i="10"/>
  <c r="M72" i="10"/>
  <c r="G89" i="10" l="1"/>
  <c r="H89" i="10" s="1"/>
  <c r="G88" i="10"/>
  <c r="H88" i="10" s="1"/>
  <c r="G86" i="10"/>
  <c r="H86" i="10" s="1"/>
  <c r="G82" i="10"/>
  <c r="H82" i="10" s="1"/>
  <c r="G81" i="10"/>
  <c r="H81" i="10" s="1"/>
  <c r="G80" i="10"/>
  <c r="H80" i="10" s="1"/>
  <c r="G79" i="10"/>
  <c r="H79" i="10" s="1"/>
  <c r="G77" i="10"/>
  <c r="H77" i="10" s="1"/>
  <c r="G76" i="10"/>
  <c r="H76" i="10" s="1"/>
  <c r="G75" i="10"/>
  <c r="H75" i="10" s="1"/>
  <c r="G74" i="10"/>
  <c r="H74" i="10" s="1"/>
  <c r="G73" i="10"/>
  <c r="H73" i="10" s="1"/>
  <c r="G71" i="10"/>
  <c r="H71" i="10" s="1"/>
  <c r="G70" i="10"/>
  <c r="H70" i="10" s="1"/>
  <c r="G69" i="10"/>
  <c r="H69" i="10" s="1"/>
  <c r="G68" i="10"/>
  <c r="H68" i="10" s="1"/>
  <c r="G67" i="10"/>
  <c r="H67" i="10" s="1"/>
  <c r="G65" i="10"/>
  <c r="H65" i="10" s="1"/>
  <c r="G64" i="10"/>
  <c r="H64" i="10" s="1"/>
  <c r="G63" i="10"/>
  <c r="H63" i="10" s="1"/>
  <c r="G62" i="10"/>
  <c r="H62" i="10" s="1"/>
  <c r="G61" i="10"/>
  <c r="H61" i="10" s="1"/>
  <c r="G59" i="10"/>
  <c r="H59" i="10" s="1"/>
  <c r="G58" i="10"/>
  <c r="H58" i="10" s="1"/>
  <c r="G57" i="10"/>
  <c r="H57" i="10" s="1"/>
  <c r="G56" i="10"/>
  <c r="H56" i="10" s="1"/>
  <c r="G55" i="10"/>
  <c r="H55" i="10" s="1"/>
  <c r="G52" i="10"/>
  <c r="H52" i="10" s="1"/>
  <c r="G51" i="10"/>
  <c r="H51" i="10" s="1"/>
  <c r="G50" i="10"/>
  <c r="H50" i="10" s="1"/>
  <c r="G49" i="10"/>
  <c r="H49" i="10" s="1"/>
  <c r="G48" i="10"/>
  <c r="H48" i="10" s="1"/>
  <c r="G46" i="10"/>
  <c r="H46" i="10" s="1"/>
  <c r="G45" i="10"/>
  <c r="H45" i="10" s="1"/>
  <c r="G44" i="10"/>
  <c r="H44" i="10" s="1"/>
  <c r="G43" i="10"/>
  <c r="H43" i="10" s="1"/>
  <c r="G42" i="10"/>
  <c r="H42" i="10" s="1"/>
  <c r="G54" i="10" l="1"/>
  <c r="H54" i="10" s="1"/>
  <c r="G66" i="10"/>
  <c r="H66" i="10" s="1"/>
  <c r="H60" i="10"/>
  <c r="H72" i="10"/>
</calcChain>
</file>

<file path=xl/sharedStrings.xml><?xml version="1.0" encoding="utf-8"?>
<sst xmlns="http://schemas.openxmlformats.org/spreadsheetml/2006/main" count="1227" uniqueCount="775">
  <si>
    <t>Kods</t>
  </si>
  <si>
    <t>A</t>
  </si>
  <si>
    <t>I   IEŅĒMUMI NO SAIMNIECISKĀS DARBĪBAS KOPĀ</t>
  </si>
  <si>
    <t>Valsts budžeta līdzekļi</t>
  </si>
  <si>
    <t>Saņemtās pacientu iemaksas (stacionāram)</t>
  </si>
  <si>
    <t>Saņemtās pacientu iemaksas (ambulatorai p.)</t>
  </si>
  <si>
    <t>Ziedojumi</t>
  </si>
  <si>
    <t>Pacienta līdzmaksājums par operāciju</t>
  </si>
  <si>
    <t>B</t>
  </si>
  <si>
    <t>1000</t>
  </si>
  <si>
    <t>ATLĪDZĪBA</t>
  </si>
  <si>
    <t>Atalgojums - kopā</t>
  </si>
  <si>
    <t>Mēneša amatalga</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</si>
  <si>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</si>
  <si>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</si>
  <si>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</si>
  <si>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</si>
  <si>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</si>
  <si>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</si>
  <si>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</si>
  <si>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</si>
  <si>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</si>
  <si>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</si>
  <si>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</si>
  <si>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</si>
  <si>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</si>
  <si>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</si>
  <si>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</si>
  <si>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</si>
  <si>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</si>
  <si>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</si>
  <si>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</si>
  <si>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</si>
  <si>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</si>
  <si>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</si>
  <si>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</si>
  <si>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</si>
  <si>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</si>
  <si>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</si>
  <si>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</si>
  <si>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</si>
  <si>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</si>
  <si>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</si>
  <si>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</si>
  <si>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</si>
  <si>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</si>
  <si>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</si>
  <si>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</si>
  <si>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</si>
  <si>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</si>
  <si>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</si>
  <si>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</si>
  <si>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</si>
  <si>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</si>
  <si>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</si>
  <si>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</si>
  <si>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</si>
  <si>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</si>
  <si>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</si>
  <si>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</si>
  <si>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</si>
  <si>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</si>
  <si>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</si>
  <si>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</si>
  <si>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</si>
  <si>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</si>
  <si>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PROCENTU IZDEVUMI</t>
  </si>
  <si>
    <t>Procentu maksājumi ārvalstu un starptautiskajām finanšu institūcijām</t>
  </si>
  <si>
    <t>Procentu maksājumi iekšzemes kredītiestādēm</t>
  </si>
  <si>
    <t>Pārējie procentu maksājumi</t>
  </si>
  <si>
    <t>C</t>
  </si>
  <si>
    <t>KOPĀ IZDEVUMI</t>
  </si>
  <si>
    <t>D</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</si>
  <si>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</si>
  <si>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</si>
  <si>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</si>
  <si>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</si>
  <si>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</si>
  <si>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</si>
  <si>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</si>
  <si>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</si>
  <si>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</si>
  <si>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</si>
  <si>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</si>
  <si>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</si>
  <si>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</si>
  <si>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</si>
  <si>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</si>
  <si>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</si>
  <si>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</si>
  <si>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</si>
  <si>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</si>
  <si>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</si>
  <si>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</si>
  <si>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</si>
  <si>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</si>
  <si>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</si>
  <si>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</si>
  <si>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</si>
  <si>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</si>
  <si>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</si>
  <si>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</si>
  <si>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</si>
  <si>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</si>
  <si>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</si>
  <si>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</si>
  <si>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</si>
  <si>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</si>
  <si>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</si>
  <si>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</si>
  <si>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</si>
  <si>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</si>
  <si>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</si>
  <si>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</si>
  <si>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</si>
  <si>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0020</t>
  </si>
  <si>
    <t>0030</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</si>
  <si>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</si>
  <si>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</si>
  <si>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</si>
  <si>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</si>
  <si>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</si>
  <si>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</si>
  <si>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</si>
  <si>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</si>
  <si>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</si>
  <si>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</si>
  <si>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</si>
  <si>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</si>
  <si>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</si>
  <si>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</si>
  <si>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</si>
  <si>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</si>
  <si>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</si>
  <si>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</si>
  <si>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</si>
  <si>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</si>
  <si>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</si>
  <si>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</si>
  <si>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</si>
  <si>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</si>
  <si>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</si>
  <si>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</si>
  <si>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</si>
  <si>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</si>
  <si>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</si>
  <si>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</si>
  <si>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</si>
  <si>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</si>
  <si>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</si>
  <si>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</si>
  <si>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</si>
  <si>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</si>
  <si>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</si>
  <si>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</si>
  <si>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</si>
  <si>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</si>
  <si>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</si>
  <si>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</si>
  <si>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</si>
  <si>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</si>
  <si>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</si>
  <si>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</si>
  <si>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</si>
  <si>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</si>
  <si>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</si>
  <si>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</si>
  <si>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</si>
  <si>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</si>
  <si>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</si>
  <si>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</si>
  <si>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</si>
  <si>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</si>
  <si>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</si>
  <si>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</si>
  <si>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</si>
  <si>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</si>
  <si>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</si>
  <si>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</si>
  <si>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</si>
  <si>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</si>
  <si>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</si>
  <si>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</si>
  <si>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</si>
  <si>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</si>
  <si>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</si>
  <si>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</si>
  <si>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</si>
  <si>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</si>
  <si>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</si>
  <si>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</si>
  <si>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</si>
  <si>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</si>
  <si>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</si>
  <si>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</si>
  <si>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</si>
  <si>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</si>
  <si>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</si>
  <si>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</si>
  <si>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</si>
  <si>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</si>
  <si>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</si>
  <si>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</si>
  <si>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</si>
  <si>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</si>
  <si>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</si>
  <si>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</si>
  <si>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</si>
  <si>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</si>
  <si>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</si>
  <si>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</si>
  <si>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</si>
  <si>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</si>
  <si>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</si>
  <si>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</si>
  <si>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</si>
  <si>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</si>
  <si>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</si>
  <si>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</si>
  <si>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</si>
  <si>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</si>
  <si>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</si>
  <si>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</si>
  <si>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</si>
  <si>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</si>
  <si>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</si>
  <si>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</si>
  <si>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</si>
  <si>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</si>
  <si>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</si>
  <si>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</si>
  <si>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</si>
  <si>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</si>
  <si>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</si>
  <si>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</si>
  <si>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</si>
  <si>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</si>
  <si>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</si>
  <si>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</si>
  <si>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</si>
  <si>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</si>
  <si>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</si>
  <si>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</si>
  <si>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</si>
  <si>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</si>
  <si>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</si>
  <si>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</si>
  <si>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</si>
  <si>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</si>
  <si>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23231</t>
  </si>
  <si>
    <t>23232</t>
  </si>
  <si>
    <t>00311</t>
  </si>
  <si>
    <t>00312</t>
  </si>
  <si>
    <t>Kapitālais remonts un rekonstrukcija</t>
  </si>
  <si>
    <t>Kopā intelektuālie īpašumi</t>
  </si>
  <si>
    <t>Kopā nekustamie īpašumi</t>
  </si>
  <si>
    <t>Kopā kustamie īpašumi</t>
  </si>
  <si>
    <t>Kopā ieguldījumi</t>
  </si>
  <si>
    <t>Saņemtās pacientu iemaksas (ambulatorai palīdzībai)</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</si>
  <si>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</si>
  <si>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</si>
  <si>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</si>
  <si>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</si>
  <si>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</si>
  <si>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</si>
  <si>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</si>
  <si>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</si>
  <si>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</si>
  <si>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</si>
  <si>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</si>
  <si>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</si>
  <si>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</si>
  <si>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</si>
  <si>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</si>
  <si>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</si>
  <si>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</si>
  <si>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</si>
  <si>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Darba devēja pabalsti un kompensācijas, no kā neaprēķina iedzīvotāju ienākuma nodokli un valsts sociālās apdrošināšanas obligātās iemaksas</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</si>
  <si>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</si>
  <si>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</si>
  <si>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</si>
  <si>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</si>
  <si>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</si>
  <si>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</si>
  <si>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</si>
  <si>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</si>
  <si>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</si>
  <si>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</si>
  <si>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</si>
  <si>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</si>
  <si>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</si>
  <si>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</si>
  <si>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</si>
  <si>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</si>
  <si>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</si>
  <si>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</si>
  <si>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</si>
  <si>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</si>
  <si>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</si>
  <si>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</si>
  <si>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</si>
  <si>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</si>
  <si>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Pašu kapitāls</t>
  </si>
  <si>
    <t>Pamatkapitāls</t>
  </si>
  <si>
    <t>Nesadalītā peļņa:</t>
  </si>
  <si>
    <t>Uzkrājumi</t>
  </si>
  <si>
    <t>Kreditori</t>
  </si>
  <si>
    <t>Ilgtermiņa kreditori</t>
  </si>
  <si>
    <t>Aizņēmumi no kredītiestādēm</t>
  </si>
  <si>
    <t>Citi aizņēmumi</t>
  </si>
  <si>
    <t>Nākamo periodu ieņēmumi</t>
  </si>
  <si>
    <t>Īstermiņa kreditori</t>
  </si>
  <si>
    <t>No pircējiem saņemtie avansi</t>
  </si>
  <si>
    <t>Parādi piegādātājiem un darbuzņēmējiem</t>
  </si>
  <si>
    <t>Pārējie kreditori</t>
  </si>
  <si>
    <t>Uzkrātās saistības</t>
  </si>
  <si>
    <t>Ilgtermiņa ieguldījumi</t>
  </si>
  <si>
    <t>Nemateriālie ieguldījumi</t>
  </si>
  <si>
    <t>Pamatlīdzekļi</t>
  </si>
  <si>
    <t>Avansa maksājumi par pamatlīdzekļiem</t>
  </si>
  <si>
    <t>Ilgtermiņa finanšu ieguldījumi</t>
  </si>
  <si>
    <t>Apgrozāmie līdzekļi</t>
  </si>
  <si>
    <t>Krājumi</t>
  </si>
  <si>
    <t>Uzkrātie ieņēmumi</t>
  </si>
  <si>
    <t xml:space="preserve">Ilgtermiņa kredītsaistības kopā </t>
  </si>
  <si>
    <t xml:space="preserve">Īstermiņa kredītsaistības kopā </t>
  </si>
  <si>
    <t>Veselības aprūpes pakalpojumiem</t>
  </si>
  <si>
    <t>Sociāliem pakalpojumiem</t>
  </si>
  <si>
    <t>Izdevumi par sakaru pakalpojumiem</t>
  </si>
  <si>
    <t>Izdevumi par siltumenerģiju</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</si>
  <si>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</si>
  <si>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</si>
  <si>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</si>
  <si>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</si>
  <si>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</si>
  <si>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</si>
  <si>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</si>
  <si>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</si>
  <si>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</si>
  <si>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</si>
  <si>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</si>
  <si>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</si>
  <si>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</si>
  <si>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</si>
  <si>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</si>
  <si>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</si>
  <si>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</si>
  <si>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</si>
  <si>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Nemateriālo ieguldījumu nolietojums</t>
  </si>
  <si>
    <t>Rādītāja nosaukums</t>
  </si>
  <si>
    <t>Neto apgrozījums</t>
  </si>
  <si>
    <t>Bruto peļņa vai zaudējumi (no apgrozījuma)</t>
  </si>
  <si>
    <t>Pārdošanas izmaksas</t>
  </si>
  <si>
    <t>Administrācijas izmaksas</t>
  </si>
  <si>
    <t xml:space="preserve">Pārējie saimnieciskās darbības ieņēmumi </t>
  </si>
  <si>
    <t>Pārējie saimnieciskās darbības izmaksas</t>
  </si>
  <si>
    <t>Ieņēmumi no vērtspapīriem un aizdevumiem, kas veidojuši ilgtermiņa aizdevumus</t>
  </si>
  <si>
    <t>Pārējie procentu ieņēmumi un tamlīdzīgi ieņēmumi</t>
  </si>
  <si>
    <t>Procentu maksājumi un tamlīdzīgas izmaksas</t>
  </si>
  <si>
    <t>Nr.p.k.</t>
  </si>
  <si>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</si>
  <si>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</si>
  <si>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</si>
  <si>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</si>
  <si>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</si>
  <si>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</si>
  <si>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</si>
  <si>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</si>
  <si>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</si>
  <si>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</si>
  <si>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</si>
  <si>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</si>
  <si>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</si>
  <si>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</si>
  <si>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</si>
  <si>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</si>
  <si>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</si>
  <si>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</si>
  <si>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</si>
  <si>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</si>
  <si>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</si>
  <si>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</si>
  <si>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</si>
  <si>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</si>
  <si>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</si>
  <si>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</si>
  <si>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</si>
  <si>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</si>
  <si>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</si>
  <si>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</si>
  <si>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</si>
  <si>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</si>
  <si>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</si>
  <si>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</si>
  <si>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</si>
  <si>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</si>
  <si>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</si>
  <si>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Kopējais stacionēto pacientu īpatsvars  no kopējā gadījumu skaita uzņemšanas nodaļā, % (23212/23110)</t>
  </si>
  <si>
    <t>Vidējais gultu noslogojums diennakts stacionārā, %</t>
  </si>
  <si>
    <t>Vidējais gultu noslogojums dienas stacionārā, %</t>
  </si>
  <si>
    <t>Ārstniecības personu īpatsvars, kas veic virsstundu darbu, no kopējā ārtsniecības personu skaita, %</t>
  </si>
  <si>
    <t>27200</t>
  </si>
  <si>
    <t>27110</t>
  </si>
  <si>
    <t>27300</t>
  </si>
  <si>
    <t>Novirze no n. gada pārskata perioda plāna, euro</t>
  </si>
  <si>
    <t>Novirze no n. gada pārskata perioda plāna, %</t>
  </si>
  <si>
    <t xml:space="preserve">     Skaidrojumi par novirzēm ir jāsniedz  sekojošiem Ieguldījumu tāmes pozīciju kodiem: 51000, 52000 un 53000.</t>
  </si>
  <si>
    <t>Ieņēmumi no pašvaldības budžeta</t>
  </si>
  <si>
    <t>0021</t>
  </si>
  <si>
    <t>0022</t>
  </si>
  <si>
    <t>Pārējās licences, koncesijas un patenti, preču zīmes un tamlīdzīgas tiesības</t>
  </si>
  <si>
    <t>Medicīnas un laboratoijas iekārtas</t>
  </si>
  <si>
    <t>Pārējās tehnoloģiskās iekārtas un mašīnas</t>
  </si>
  <si>
    <t>Pārdotās produkcijas ražošanas pašizmaksa, pārdoto preču vai sniegto pakalpojumu iegādes izmaksas</t>
  </si>
  <si>
    <t>Citi ieņēmumi (Ieņēmumi no bez atlīdzības saņemtajām precēm u.tml.)</t>
  </si>
  <si>
    <t>Rezerves</t>
  </si>
  <si>
    <t>Iepriekšējo gadu nesadalītā peļņa vai nesegtie zaudējumi</t>
  </si>
  <si>
    <t>Pārskata gada peļņa vai zaudējumi</t>
  </si>
  <si>
    <t>Nodokļi un valsts sociālās apdrošināšanas obligātās iemaksas</t>
  </si>
  <si>
    <t>Neizmaksātās dividendes</t>
  </si>
  <si>
    <t>Attīstības izmaksas</t>
  </si>
  <si>
    <t>Koncesijas, patenti, licences, preču zīmes un tamlīdzīgas tiesības</t>
  </si>
  <si>
    <t>Citi nemateriālie ieguldījumi</t>
  </si>
  <si>
    <t>Nemateriālā vērtība</t>
  </si>
  <si>
    <t>Avansa maksājumi par nemateriālajiem ieguldījumiem</t>
  </si>
  <si>
    <t>Ilgtermiņa ieguldījumi nomātajos pamatlīdzekļos</t>
  </si>
  <si>
    <t>Izejvielas, pamatmateriāli un palīgmateriāl</t>
  </si>
  <si>
    <t>Nepabeigtie ražojumi un pasūtījumi</t>
  </si>
  <si>
    <t>Īstermiņa finanšu ieguldījumi</t>
  </si>
  <si>
    <t>Pamatlīdzekļu un nemateriālo ieguldījumu iegāde kopā</t>
  </si>
  <si>
    <t>Izpilde periodā no n. gada sākuma līdz II ceturkšņa beigām</t>
  </si>
  <si>
    <t>Izpilde periodā no n. gada sākuma līdz III ceturkšņa beigām</t>
  </si>
  <si>
    <t xml:space="preserve">Ieņēmumi no līdzdalības </t>
  </si>
  <si>
    <t>Ilgtermiņa un īstermiņa finanšu ieguldījumu vērtības samazinājuma korekcijas</t>
  </si>
  <si>
    <t>Peļņa vai zaudējumi pirms uzņēmumu ienākuma nodokļa</t>
  </si>
  <si>
    <t>Uzņēmumu ienākuma nodoklis par pārskata gadu</t>
  </si>
  <si>
    <t xml:space="preserve">Peļņa vai zaudējumi pēc uzņēmumu ienākuma nodokļa aprēķināšanas </t>
  </si>
  <si>
    <t>Ieņēmumi vai izmaksas no atliktā nodokļa aktīvu vai saistību atlikumu izmaiņām</t>
  </si>
  <si>
    <t>Ārkārtas dividendes</t>
  </si>
  <si>
    <t xml:space="preserve">Pārskata perioda peļņa vai zaudējumi </t>
  </si>
  <si>
    <t>Mazākumakcionāru peļņas vai zaudējumu daļa</t>
  </si>
  <si>
    <t>Norādījumi veidlapas aizpildīšanai:</t>
  </si>
  <si>
    <r>
      <t>Skaidrojumi</t>
    </r>
    <r>
      <rPr>
        <vertAlign val="superscript"/>
        <sz val="12"/>
        <rFont val="Times New Roman"/>
        <family val="1"/>
      </rPr>
      <t>2</t>
    </r>
  </si>
  <si>
    <r>
      <rPr>
        <vertAlign val="superscript"/>
        <sz val="12"/>
        <rFont val="Times New Roman"/>
        <family val="1"/>
      </rPr>
      <t>3</t>
    </r>
    <r>
      <rPr>
        <sz val="12"/>
        <rFont val="Times New Roman"/>
        <family val="1"/>
      </rPr>
      <t xml:space="preserve"> t.sk.asins sagatavošanas nodaļas pakalpojumiem, pakalpojumi maznodrošinātajiem utt.</t>
    </r>
  </si>
  <si>
    <r>
      <rPr>
        <vertAlign val="superscript"/>
        <sz val="12"/>
        <rFont val="Times New Roman"/>
        <family val="1"/>
      </rPr>
      <t>4</t>
    </r>
    <r>
      <rPr>
        <sz val="12"/>
        <rFont val="Times New Roman"/>
        <family val="1"/>
      </rPr>
      <t xml:space="preserve"> piem., Černobiļas apliecības izsniegšana, tehnisko palīglīdzekļu centra funkciju nodrošināšana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</si>
  <si>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</si>
  <si>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t xml:space="preserve">Pacientu skaits periodā, kuriem sniegta neatliekamā medicīniskā palīdzība un </t>
    </r>
    <r>
      <rPr>
        <i/>
        <sz val="12"/>
        <rFont val="Times New Roman"/>
        <family val="1"/>
      </rPr>
      <t>tie novirzīti turpmākai ambulatorai ārstēšanai</t>
    </r>
  </si>
  <si>
    <r>
      <t>Pacientu skaits periodā,</t>
    </r>
    <r>
      <rPr>
        <i/>
        <sz val="12"/>
        <rFont val="Times New Roman"/>
        <family val="1"/>
      </rPr>
      <t xml:space="preserve"> kuri stacionēti (bez observācijas)</t>
    </r>
  </si>
  <si>
    <r>
      <t xml:space="preserve">Pacientu skaits periodā, </t>
    </r>
    <r>
      <rPr>
        <i/>
        <sz val="12"/>
        <rFont val="Times New Roman"/>
        <family val="1"/>
      </rPr>
      <t>kuriem nodrošināts observācijas pakalpojums, t.sk.</t>
    </r>
  </si>
  <si>
    <r>
      <t>Vidējais</t>
    </r>
    <r>
      <rPr>
        <vertAlign val="superscript"/>
        <sz val="12"/>
        <rFont val="Times New Roman"/>
        <family val="1"/>
      </rPr>
      <t>1</t>
    </r>
    <r>
      <rPr>
        <sz val="12"/>
        <rFont val="Times New Roman"/>
        <family val="1"/>
      </rPr>
      <t xml:space="preserve"> observācijas gultu skaits</t>
    </r>
  </si>
  <si>
    <r>
      <t>Kopējais hospitalizācijas</t>
    </r>
    <r>
      <rPr>
        <vertAlign val="superscript"/>
        <sz val="12"/>
        <rFont val="Times New Roman"/>
        <family val="1"/>
      </rPr>
      <t>2</t>
    </r>
    <r>
      <rPr>
        <sz val="12"/>
        <rFont val="Times New Roman"/>
        <family val="1"/>
      </rPr>
      <t xml:space="preserve"> gadījumu skaits, t.sk.</t>
    </r>
  </si>
  <si>
    <r>
      <t>Valsts apmaksāto hospitalizācijas</t>
    </r>
    <r>
      <rPr>
        <i/>
        <vertAlign val="superscript"/>
        <sz val="12"/>
        <rFont val="Times New Roman"/>
        <family val="1"/>
      </rPr>
      <t>2</t>
    </r>
    <r>
      <rPr>
        <i/>
        <sz val="12"/>
        <rFont val="Times New Roman"/>
        <family val="1"/>
      </rPr>
      <t xml:space="preserve"> gadījumu skaits</t>
    </r>
  </si>
  <si>
    <r>
      <t>Plānveida hospitalizācijas</t>
    </r>
    <r>
      <rPr>
        <vertAlign val="superscript"/>
        <sz val="12"/>
        <rFont val="Times New Roman"/>
        <family val="1"/>
      </rPr>
      <t>2</t>
    </r>
    <r>
      <rPr>
        <sz val="12"/>
        <rFont val="Times New Roman"/>
        <family val="1"/>
      </rPr>
      <t xml:space="preserve"> gadījumu skaits, t.sk.:</t>
    </r>
  </si>
  <si>
    <r>
      <t>Valsts apmaksāto plānveida hospitalizācijas</t>
    </r>
    <r>
      <rPr>
        <i/>
        <vertAlign val="superscript"/>
        <sz val="12"/>
        <rFont val="Times New Roman"/>
        <family val="1"/>
      </rPr>
      <t>2</t>
    </r>
    <r>
      <rPr>
        <i/>
        <sz val="12"/>
        <rFont val="Times New Roman"/>
        <family val="1"/>
      </rPr>
      <t xml:space="preserve"> gadījumu skaits</t>
    </r>
  </si>
  <si>
    <r>
      <t>Neatliekamo hospitalizāciju</t>
    </r>
    <r>
      <rPr>
        <vertAlign val="superscript"/>
        <sz val="12"/>
        <rFont val="Times New Roman"/>
        <family val="1"/>
      </rPr>
      <t>2</t>
    </r>
    <r>
      <rPr>
        <sz val="12"/>
        <rFont val="Times New Roman"/>
        <family val="1"/>
      </rPr>
      <t xml:space="preserve"> gadījumu skaits, t.sk.:</t>
    </r>
  </si>
  <si>
    <r>
      <t>Valsts apmaksāto neatliekamo hospitalizācijas</t>
    </r>
    <r>
      <rPr>
        <i/>
        <vertAlign val="superscript"/>
        <sz val="12"/>
        <rFont val="Times New Roman"/>
        <family val="1"/>
      </rPr>
      <t>2</t>
    </r>
    <r>
      <rPr>
        <i/>
        <sz val="12"/>
        <rFont val="Times New Roman"/>
        <family val="1"/>
      </rPr>
      <t xml:space="preserve"> gadījumu skaits</t>
    </r>
  </si>
  <si>
    <r>
      <t>Atkārtoti hospitalizēto pacientu skaits, neieskaitot pacientus, kuriem nākamā hospitalizācija ir aprūpe vai rehabilitācija</t>
    </r>
    <r>
      <rPr>
        <vertAlign val="superscript"/>
        <sz val="12"/>
        <rFont val="Times New Roman"/>
        <family val="1"/>
      </rPr>
      <t>9</t>
    </r>
  </si>
  <si>
    <r>
      <t>Atkārtoti hospitalizēto pacientu skaits, kuriem nākamā hospitalizācija ir aprūpe,  rehabilitācija vai nākamais ārstēšanas posms</t>
    </r>
    <r>
      <rPr>
        <vertAlign val="superscript"/>
        <sz val="12"/>
        <rFont val="Times New Roman"/>
        <family val="1"/>
      </rPr>
      <t>10</t>
    </r>
  </si>
  <si>
    <r>
      <t>Ambultatori izdarīto operāciju skaits</t>
    </r>
    <r>
      <rPr>
        <vertAlign val="superscript"/>
        <sz val="12"/>
        <rFont val="Times New Roman"/>
        <family val="1"/>
      </rPr>
      <t>11</t>
    </r>
    <r>
      <rPr>
        <sz val="12"/>
        <rFont val="Times New Roman"/>
        <family val="1"/>
      </rPr>
      <t>, t.sk.:</t>
    </r>
  </si>
  <si>
    <r>
      <t xml:space="preserve">Klienta dienas vidējā realizācijas maksa, </t>
    </r>
    <r>
      <rPr>
        <i/>
        <sz val="12"/>
        <rFont val="Times New Roman"/>
        <family val="1"/>
      </rPr>
      <t>euro</t>
    </r>
  </si>
  <si>
    <r>
      <t xml:space="preserve">Klienta dienas vidējā pašizmaksa, </t>
    </r>
    <r>
      <rPr>
        <i/>
        <sz val="12"/>
        <rFont val="Times New Roman"/>
        <family val="1"/>
      </rPr>
      <t>euro</t>
    </r>
  </si>
  <si>
    <r>
      <t xml:space="preserve">Vidējais sociālās aprūpes ilgums, </t>
    </r>
    <r>
      <rPr>
        <i/>
        <sz val="12"/>
        <rFont val="Times New Roman"/>
        <family val="1"/>
      </rPr>
      <t xml:space="preserve">dienas </t>
    </r>
  </si>
  <si>
    <r>
      <t>Ārsti</t>
    </r>
    <r>
      <rPr>
        <vertAlign val="superscript"/>
        <sz val="12"/>
        <rFont val="Times New Roman"/>
        <family val="1"/>
      </rPr>
      <t>3</t>
    </r>
  </si>
  <si>
    <r>
      <t>Ārstniecības un pacientu aprūpes personāls</t>
    </r>
    <r>
      <rPr>
        <vertAlign val="superscript"/>
        <sz val="12"/>
        <rFont val="Times New Roman"/>
        <family val="1"/>
      </rPr>
      <t>4</t>
    </r>
  </si>
  <si>
    <r>
      <t>Ārstniecības un pacientu aprūpes atbalsta personāls</t>
    </r>
    <r>
      <rPr>
        <vertAlign val="superscript"/>
        <sz val="12"/>
        <rFont val="Times New Roman"/>
        <family val="1"/>
      </rPr>
      <t>5</t>
    </r>
  </si>
  <si>
    <r>
      <t>Administrācija</t>
    </r>
    <r>
      <rPr>
        <vertAlign val="superscript"/>
        <sz val="12"/>
        <rFont val="Times New Roman"/>
        <family val="1"/>
      </rPr>
      <t>6</t>
    </r>
  </si>
  <si>
    <r>
      <t>Pārējais personāls (t.sk. sanitāri)</t>
    </r>
    <r>
      <rPr>
        <vertAlign val="superscript"/>
        <sz val="12"/>
        <rFont val="Times New Roman"/>
        <family val="1"/>
      </rPr>
      <t>7</t>
    </r>
  </si>
  <si>
    <r>
      <t xml:space="preserve">Darbinieku </t>
    </r>
    <r>
      <rPr>
        <b/>
        <u/>
        <sz val="12"/>
        <rFont val="Times New Roman"/>
        <family val="1"/>
      </rPr>
      <t xml:space="preserve">vidējie </t>
    </r>
    <r>
      <rPr>
        <b/>
        <sz val="12"/>
        <rFont val="Times New Roman"/>
        <family val="1"/>
      </rPr>
      <t xml:space="preserve">ienākumi mēnesī: </t>
    </r>
  </si>
  <si>
    <r>
      <t>Kopējā slimnīcas telpu platība  (m</t>
    </r>
    <r>
      <rPr>
        <vertAlign val="superscript"/>
        <sz val="12"/>
        <rFont val="Times New Roman"/>
        <family val="1"/>
      </rPr>
      <t>2</t>
    </r>
    <r>
      <rPr>
        <sz val="12"/>
        <rFont val="Times New Roman"/>
        <family val="1"/>
      </rPr>
      <t>), t.sk.:</t>
    </r>
  </si>
  <si>
    <r>
      <t>Ūdens patēriņš  ( m</t>
    </r>
    <r>
      <rPr>
        <vertAlign val="superscript"/>
        <sz val="12"/>
        <rFont val="Times New Roman"/>
        <family val="1"/>
      </rPr>
      <t>3</t>
    </r>
    <r>
      <rPr>
        <sz val="12"/>
        <rFont val="Times New Roman"/>
        <family val="1"/>
      </rPr>
      <t>)</t>
    </r>
  </si>
  <si>
    <r>
      <t>Kanalizācija  (m</t>
    </r>
    <r>
      <rPr>
        <vertAlign val="superscript"/>
        <sz val="12"/>
        <rFont val="Times New Roman"/>
        <family val="1"/>
      </rPr>
      <t>3</t>
    </r>
    <r>
      <rPr>
        <sz val="12"/>
        <rFont val="Times New Roman"/>
        <family val="1"/>
      </rPr>
      <t>)</t>
    </r>
  </si>
  <si>
    <r>
      <t>Stacionāro pakalpojumu sniegšanai izmantotie medikamenti uz gultas dienu</t>
    </r>
    <r>
      <rPr>
        <vertAlign val="superscript"/>
        <sz val="12"/>
        <rFont val="Times New Roman"/>
        <family val="1"/>
      </rPr>
      <t>8</t>
    </r>
  </si>
  <si>
    <t xml:space="preserve">Attīstības pasākumi un programmas </t>
  </si>
  <si>
    <t xml:space="preserve">Datorprogrammas </t>
  </si>
  <si>
    <t xml:space="preserve">Pārējie nemateriālie ieguldījumi </t>
  </si>
  <si>
    <t xml:space="preserve">Nedzīvojamās ēkas </t>
  </si>
  <si>
    <t xml:space="preserve">Zeme zem ēkām un būvēm </t>
  </si>
  <si>
    <t xml:space="preserve">Pārējā zeme </t>
  </si>
  <si>
    <t xml:space="preserve">Celtnes un būves </t>
  </si>
  <si>
    <t xml:space="preserve">Pārējais nekustamais īpašums </t>
  </si>
  <si>
    <t xml:space="preserve">Nepabeigtā būvniecība </t>
  </si>
  <si>
    <t xml:space="preserve">Tehnoloģiskās iekārtas un mašīnas </t>
  </si>
  <si>
    <t xml:space="preserve">Transportlīdzekļi </t>
  </si>
  <si>
    <t xml:space="preserve">Saimniecības pamatlīdzekļi </t>
  </si>
  <si>
    <t xml:space="preserve">Datortehnika, sakaru un cita biroja tehnika </t>
  </si>
  <si>
    <t xml:space="preserve">Pārējie iepriekš neklasificētie pamatlīdzekļi </t>
  </si>
  <si>
    <t xml:space="preserve">Ilgtermiņa ieguldījumi nomātajos pamatlīdzekļos </t>
  </si>
  <si>
    <t>Samaksa par virsstundu darbu un darbu svētku dienās</t>
  </si>
  <si>
    <t>Izdevumi par ūdeni un kanalizāciju</t>
  </si>
  <si>
    <t>Iestādes administratīvie izdevumi un ar iestādes darbības nodrošināšanu
 saistītie izdevumi</t>
  </si>
  <si>
    <t>Normatīvajos aktos noteiktie veselības un fiziskās sagatavotības pārbaudes izdevumi</t>
  </si>
  <si>
    <t>Izdevumi, kas saistīti ar operatīvo darbību</t>
  </si>
  <si>
    <t>Maksājumi par parāda apkalpošanu un komisijas maksas par izmantotajiem atvasinātajiem finanšu instrumentiem</t>
  </si>
  <si>
    <t>Ieņēmumi par izglītojošo un zinātnisko darbību</t>
  </si>
  <si>
    <t xml:space="preserve">Ieņēmumi par valsts finansēto zinātnisko darbību </t>
  </si>
  <si>
    <t>00314</t>
  </si>
  <si>
    <t>Darba devēja valsts sociālās apdrošināšanas obligātās iemaksas</t>
  </si>
  <si>
    <t>Darba devēja pabalsti, kompensācijas un citi maksājumi</t>
  </si>
  <si>
    <t>Pacientu iemaksas par atbrīvotajām kategorijām (ambulatorai p.)</t>
  </si>
  <si>
    <t>Ambulatorai palīdzībai</t>
  </si>
  <si>
    <t>Pacientu iemaksas par atbrīvotajām kategorijām (stacionāram)</t>
  </si>
  <si>
    <t xml:space="preserve">Stacionārai palīdzībai </t>
  </si>
  <si>
    <r>
      <t>Citi ieņēmumi (piem.reģistru uztur., retajiem medikam. utt.)</t>
    </r>
    <r>
      <rPr>
        <vertAlign val="superscript"/>
        <sz val="12"/>
        <rFont val="Times New Roman"/>
        <family val="1"/>
      </rPr>
      <t>3</t>
    </r>
  </si>
  <si>
    <t>Maksas veselības aprūpes pakalpojumi</t>
  </si>
  <si>
    <t>Maksas sociālie pakalpojumi</t>
  </si>
  <si>
    <t>Pārējie saimnieciskās darbības ieņēmumi</t>
  </si>
  <si>
    <t>Ieņēmumi no nomas</t>
  </si>
  <si>
    <t>Nolietojums</t>
  </si>
  <si>
    <r>
      <t>Skaidrojumi</t>
    </r>
    <r>
      <rPr>
        <vertAlign val="superscript"/>
        <sz val="12"/>
        <rFont val="Times New Roman"/>
        <family val="1"/>
      </rPr>
      <t>12</t>
    </r>
  </si>
  <si>
    <r>
      <t>Skaidrojumi</t>
    </r>
    <r>
      <rPr>
        <vertAlign val="superscript"/>
        <sz val="12"/>
        <rFont val="Times New Roman"/>
        <family val="1"/>
      </rPr>
      <t>1</t>
    </r>
  </si>
  <si>
    <t>Nosaukums</t>
  </si>
  <si>
    <t>Bilances posteņa nosaukums</t>
  </si>
  <si>
    <r>
      <t>Nosaukums</t>
    </r>
    <r>
      <rPr>
        <vertAlign val="superscript"/>
        <sz val="12"/>
        <rFont val="Times New Roman"/>
        <family val="1"/>
      </rPr>
      <t>1</t>
    </r>
  </si>
  <si>
    <t xml:space="preserve">Peļņas vai zaudējumu aprēķinu un Bilanci apkopo un norāda atbilstoši apstiprinātai kapitālsabiedrības grāmatvedības politikai.                      Visiem pielikumos norādītiem datiem jābūt loģiski savstarpēji saistītiem. </t>
  </si>
  <si>
    <r>
      <rPr>
        <vertAlign val="superscript"/>
        <sz val="12"/>
        <rFont val="Times New Roman"/>
        <family val="1"/>
      </rPr>
      <t xml:space="preserve">1 </t>
    </r>
    <r>
      <rPr>
        <sz val="12"/>
        <rFont val="Times New Roman"/>
        <family val="1"/>
      </rPr>
      <t xml:space="preserve"> "vidējais"  rādītāja vērtība katra mēneša pēdējā datumā un summa, dalot ar mēnešu skaitu pārskata periodā</t>
    </r>
  </si>
  <si>
    <r>
      <rPr>
        <vertAlign val="superscript"/>
        <sz val="12"/>
        <rFont val="Times New Roman"/>
        <family val="1"/>
      </rPr>
      <t xml:space="preserve">2 </t>
    </r>
    <r>
      <rPr>
        <sz val="12"/>
        <rFont val="Times New Roman"/>
        <family val="1"/>
      </rPr>
      <t>hospitalizāciju skaits, bez fiktīvās izrakstīšanās attiecīgā perioda ietvaros</t>
    </r>
  </si>
  <si>
    <r>
      <rPr>
        <vertAlign val="superscript"/>
        <sz val="12"/>
        <rFont val="Times New Roman"/>
        <family val="1"/>
      </rPr>
      <t xml:space="preserve">3 </t>
    </r>
    <r>
      <rPr>
        <sz val="12"/>
        <rFont val="Times New Roman"/>
        <family val="1"/>
      </rPr>
      <t>sertificēti  ārsti, zobārsti un funkcionālie speciālisti, reģistrēti ārsti, zobārsti un funkcionālie speciālisti, rezidenti</t>
    </r>
  </si>
  <si>
    <r>
      <rPr>
        <vertAlign val="superscript"/>
        <sz val="12"/>
        <rFont val="Times New Roman"/>
        <family val="1"/>
      </rPr>
      <t xml:space="preserve">4 </t>
    </r>
    <r>
      <rPr>
        <sz val="12"/>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</si>
  <si>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2"/>
        <rFont val="Times New Roman"/>
        <family val="1"/>
      </rPr>
      <t xml:space="preserve">5 </t>
    </r>
    <r>
      <rPr>
        <sz val="12"/>
        <rFont val="Times New Roman"/>
        <family val="1"/>
      </rPr>
      <t>māsu palīgi, zobārsta asistenti</t>
    </r>
  </si>
  <si>
    <r>
      <rPr>
        <vertAlign val="superscript"/>
        <sz val="12"/>
        <rFont val="Times New Roman"/>
        <family val="1"/>
      </rPr>
      <t xml:space="preserve">6 </t>
    </r>
    <r>
      <rPr>
        <sz val="12"/>
        <rFont val="Times New Roman"/>
        <family val="1"/>
      </rPr>
      <t xml:space="preserve">valde, padome, valdes/padomes birojs, ārstniecības personām, kuras tiešā veidā nav saistītas ar pacientu ārstēšanu -  klīniku vadītājiem, virsārstiem, profila virsārstiem, vecākajiem ārstiem, galvenajām māsām, ārstiem koordinatoriem, projektu vadītājiem, departamentu direktoriem un to vietniekiem, tehniskajam direktoram, kā arī sekojošām struktūrvienībām: komunikācijas, personāla vadības, finanšu, u.c. </t>
    </r>
  </si>
  <si>
    <r>
      <rPr>
        <vertAlign val="superscript"/>
        <sz val="12"/>
        <rFont val="Times New Roman"/>
        <family val="1"/>
      </rPr>
      <t xml:space="preserve">7 </t>
    </r>
    <r>
      <rPr>
        <sz val="12"/>
        <rFont val="Times New Roman"/>
        <family val="1"/>
      </rPr>
      <t>saimnieciskais personāls, ārstniecības un aprūpes procesu atbalsta personāls (t.sk. sanitāri)</t>
    </r>
  </si>
  <si>
    <r>
      <rPr>
        <vertAlign val="superscript"/>
        <sz val="12"/>
        <rFont val="Times New Roman"/>
        <family val="1"/>
      </rPr>
      <t xml:space="preserve">8 </t>
    </r>
    <r>
      <rPr>
        <sz val="12"/>
        <rFont val="Times New Roman"/>
        <family val="1"/>
      </rPr>
      <t>medikamenti, medicīnas preces, implanti, sterilizācijas materiāli, medicīnas instrumenti, laboratorijas preces stacionāro pakalpojumu nodrošināšanai (bez bezmaksas medikamnetiem un med. Precēm)/ Stacionāra gultu dienu skaits</t>
    </r>
  </si>
  <si>
    <r>
      <rPr>
        <vertAlign val="superscript"/>
        <sz val="12"/>
        <rFont val="Times New Roman"/>
        <family val="1"/>
      </rPr>
      <t xml:space="preserve">9 </t>
    </r>
    <r>
      <rPr>
        <sz val="12"/>
        <rFont val="Times New Roman"/>
        <family val="1"/>
      </rPr>
      <t>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</si>
  <si>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2"/>
        <rFont val="Times New Roman"/>
        <family val="1"/>
      </rPr>
      <t>10</t>
    </r>
    <r>
      <rPr>
        <sz val="12"/>
        <color theme="1"/>
        <rFont val="Calibri"/>
        <family val="2"/>
        <charset val="186"/>
        <scheme val="minor"/>
      </rPr>
      <t xml:space="preserve"> </t>
    </r>
    <r>
      <rPr>
        <sz val="12"/>
        <rFont val="Times New Roman"/>
        <family val="1"/>
      </rPr>
      <t>rehospitalizāciju skaitā ieskaita pacientus, kas atkārtoti hospitalizēti tajā pašā vai nākamajā dienā, kuru nākamā hospitalizācija ir aprūpe vai rehabilitācija (atbilstoši NVD mājas lapā publicētā "Pārskats par uz mājām izrakstītiem pacientiem, kas atkārtoti hospitalizēti tajā pašā vai nākamajā dienā" izslēgšanas kritērijos GPF kodam)</t>
    </r>
  </si>
  <si>
    <r>
      <rPr>
        <vertAlign val="superscript"/>
        <sz val="12"/>
        <rFont val="Times New Roman"/>
        <family val="1"/>
      </rPr>
      <t xml:space="preserve">11 </t>
    </r>
    <r>
      <rPr>
        <sz val="12"/>
        <rFont val="Times New Roman"/>
        <family val="1"/>
      </rPr>
      <t>atbilstoši NVD mājas lapā publocētajam "Valsts apmaksājamo manipulāciju un to apmaksas nosacījumu saraksts" Lielo ķirurģisko operāciju klasifikatoram (10.kolonna)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</si>
  <si>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</si>
  <si>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12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</si>
  <si>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gadījumos, ja novirze faktisko budžeta ieņēmumu un izdevumu pozīcijās ir virs 15%.</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</si>
  <si>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Nr. 1031 "Noteikumi par budžetu izdevumu klasifikāciju atbilstoši ekonomiskajām kategorijām" un jāpiemēro šo MK noteikumu skaidrojumi atbilstošiem EKK</t>
    </r>
  </si>
  <si>
    <t>Mēneša amatalga padomei</t>
  </si>
  <si>
    <t>Dienas nauda</t>
  </si>
  <si>
    <t>Pārējie komandējumu un darba braucienu izdevumi</t>
  </si>
  <si>
    <t>Pakalpojumi, kurus budžeta iestādes apmaksā noteikto funkciju ietvaros, kas nav iestādes administratīvie izdevumi</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</si>
  <si>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2520,2800, 4100, 4200, 4300, 5100, 5200, 0100, 8000.</t>
  </si>
  <si>
    <t>Nemateriālo ieguldījumu amortizācija un vērtības samazinājums</t>
  </si>
  <si>
    <t>Tehnoloģiskās iekārtas un mašīnas</t>
  </si>
  <si>
    <t>Zeme un būves</t>
  </si>
  <si>
    <t>Pārējie pamatlīdzekļi</t>
  </si>
  <si>
    <t>Pamatlīdzekļu izveidošana un nepabeigtā būvniecība</t>
  </si>
  <si>
    <t>Turējumā nodotie valsts un pašvaldību īpašumi</t>
  </si>
  <si>
    <t>Bioloģiskie un pazemes aktīvi</t>
  </si>
  <si>
    <t xml:space="preserve">	Pamatlīdzekļu uzkrātais nolietojums un vērtības samazinājums</t>
  </si>
  <si>
    <t>Ilgtermiņa prasības</t>
  </si>
  <si>
    <t>Ieguldījuma īpašumi</t>
  </si>
  <si>
    <t>Bioloģiskie aktīvi lauksaimnieciskajai darbībai</t>
  </si>
  <si>
    <t>Gatavie ražojumi, pasūtījumi un krājumi atsavināšanai</t>
  </si>
  <si>
    <t>Bioloģisko aktīvu produkti un krājumi to uzturēšanai</t>
  </si>
  <si>
    <t>Valsts materiālās rezerves</t>
  </si>
  <si>
    <t>Speciālais militārais inventārs un speciālā militārā inventāra izveidošana</t>
  </si>
  <si>
    <t xml:space="preserve">	Avansa maksājumi un vērtības samazinājums avansa maksājumiem par krājumiem</t>
  </si>
  <si>
    <t>Vērtības samazinājums krājumiem</t>
  </si>
  <si>
    <t xml:space="preserve">	Īstermiņa prasības</t>
  </si>
  <si>
    <t>Prasības pret pircējiem un pasūtītājiem</t>
  </si>
  <si>
    <t>Prasības par ārvalstu finanšu palīdzības un Eiropas Savienības politiku instrumentu finansētajiem projektiem (pasākumiem)</t>
  </si>
  <si>
    <t>Prasības par nodokļiem, nodevām un citiem maksājumiem budžetos</t>
  </si>
  <si>
    <t>Pārmaksātie nodokļi, nodevas un citi maksājumi budžetos</t>
  </si>
  <si>
    <t>Prasības pret personālu</t>
  </si>
  <si>
    <t>Pārējās prasības</t>
  </si>
  <si>
    <t>Nākamo periodu izdevumi un avansa maksājumi par pakalpojumiem un projektiem</t>
  </si>
  <si>
    <t>Naudas līdzekļi</t>
  </si>
  <si>
    <t>AKTĪVU KOPSUMMA (1000+2000)</t>
  </si>
  <si>
    <t>H</t>
  </si>
  <si>
    <t xml:space="preserve">	Finanšu instrumentu patiesās vērtības rezerve</t>
  </si>
  <si>
    <t xml:space="preserve">	Pārējās rezerves</t>
  </si>
  <si>
    <t>Ilgtermiņa ieguldījumu pārvērtēšanas rezerve.</t>
  </si>
  <si>
    <t>PASĪVU KOPSUMMA (3000+4000+5000)</t>
  </si>
  <si>
    <t>Kredītsaistības  (5100+5200)</t>
  </si>
  <si>
    <t>2022.gada izpilde</t>
  </si>
  <si>
    <t>2023.gada
 plāns</t>
  </si>
  <si>
    <t>Plāns periodam no 2023. gada sākuma līdz I ceturkšņa beigām</t>
  </si>
  <si>
    <t>Plāns periodam no 2023. gada sākuma līdz II ceturkšņa beigām</t>
  </si>
  <si>
    <t>Izpilde periodā no 2023. gada sākuma līdz II ceturkšņa beigām</t>
  </si>
  <si>
    <t>Novirze no 2023. gada pārskata perioda plāna, euro</t>
  </si>
  <si>
    <t>Novirze no 2023. gada pārskata perioda plāna, %</t>
  </si>
  <si>
    <t>Izpilde periodā no 2023. gada sākuma līdz I ceturkšņa beigām</t>
  </si>
  <si>
    <t>Plāns periodam no 2023. gada sākuma līdz III ceturkšņa beigām</t>
  </si>
  <si>
    <t>Izpilde periodā no 2023. gada sākuma līdz III ceturkšņa beigām</t>
  </si>
  <si>
    <t>Plāns periodam no 2023. gada sākuma līdz IV ceturkšņa beigām</t>
  </si>
  <si>
    <t>Izpilde periodā no 2023. gada sākuma līdz IV ceturkšņa beigām</t>
  </si>
  <si>
    <t>-</t>
  </si>
  <si>
    <t>Izpilde periodā no 2023. gada sākuma līdz 2023 ceturkšņa beigām</t>
  </si>
  <si>
    <t>Izpilde periodā no 2023. gada sākuma līdz 2023 I ceturkšņa beigām</t>
  </si>
  <si>
    <t xml:space="preserve"> </t>
  </si>
  <si>
    <r>
      <t>Valsts pārvaldes deleģēto uzdevumu veikšana</t>
    </r>
    <r>
      <rPr>
        <vertAlign val="superscript"/>
        <sz val="12"/>
        <rFont val="Times New Roman"/>
        <family val="1"/>
      </rPr>
      <t>4</t>
    </r>
    <r>
      <rPr>
        <sz val="12"/>
        <rFont val="Times New Roman"/>
        <family val="1"/>
      </rPr>
      <t xml:space="preserve"> Bezmaksas medikamenti</t>
    </r>
  </si>
  <si>
    <t>Licence MediCad</t>
  </si>
  <si>
    <t>2023. gada plāns</t>
  </si>
  <si>
    <t>N.p.k.</t>
  </si>
  <si>
    <t>Atlikums uz pārskata perioda beigām</t>
  </si>
  <si>
    <t>t.sk. summa,
 kurai iestājies
 maks.termiņš</t>
  </si>
  <si>
    <t>Mazāk par 30 dienām kavētie maksājumi</t>
  </si>
  <si>
    <t>30 un vairāk dienas kavētie maksājumi</t>
  </si>
  <si>
    <t>Skaidrojumi</t>
  </si>
  <si>
    <t>1</t>
  </si>
  <si>
    <t>1.</t>
  </si>
  <si>
    <t>1.1.</t>
  </si>
  <si>
    <t>1.1.1.</t>
  </si>
  <si>
    <t>…</t>
  </si>
  <si>
    <t>1.1.2.</t>
  </si>
  <si>
    <t>utt.</t>
  </si>
  <si>
    <t>1.2.</t>
  </si>
  <si>
    <t>1.2.1.</t>
  </si>
  <si>
    <t>1.2.2.</t>
  </si>
  <si>
    <t>1.3.</t>
  </si>
  <si>
    <t>1.3.1.</t>
  </si>
  <si>
    <t>No Veselības norēķinu centra saņemtā investīciju nauda</t>
  </si>
  <si>
    <t>1.3.2.</t>
  </si>
  <si>
    <t xml:space="preserve">No ERAF saņemtā investīcija  (3DP/3.1.5.3.1/11/IPIA/VEC/013) </t>
  </si>
  <si>
    <t xml:space="preserve">No ERAF saņemtā investīcija  (3DP/3.1.5.3.1/10/IPIA/VEC/017) </t>
  </si>
  <si>
    <t xml:space="preserve">No ERAF saņemtā investīcija  (9.3.2.0/17/I/002) </t>
  </si>
  <si>
    <t xml:space="preserve">No NVD projekta līguma Nr. 1936 </t>
  </si>
  <si>
    <t xml:space="preserve">No NVD projekta līguma Nr. 2550 </t>
  </si>
  <si>
    <t xml:space="preserve">No NVD projekta līguma Nr. 1874 </t>
  </si>
  <si>
    <t>No NVD projekta līguma Nr. 01-11.4/110</t>
  </si>
  <si>
    <t>1.4.</t>
  </si>
  <si>
    <t>Citi kreditori</t>
  </si>
  <si>
    <t>1.4.1.</t>
  </si>
  <si>
    <t>LAGRON SIA</t>
  </si>
  <si>
    <t>Garantijas summa 5% projektiem</t>
  </si>
  <si>
    <t>1.4.2.</t>
  </si>
  <si>
    <t>Guliver Construction, PS</t>
  </si>
  <si>
    <t>2.</t>
  </si>
  <si>
    <t>2.1.</t>
  </si>
  <si>
    <t>2.1.1.</t>
  </si>
  <si>
    <t>2.1.2.</t>
  </si>
  <si>
    <t>2.2.</t>
  </si>
  <si>
    <t>2.2.1.</t>
  </si>
  <si>
    <t>2.2.2.</t>
  </si>
  <si>
    <t>2.3.</t>
  </si>
  <si>
    <t>2.3.1.</t>
  </si>
  <si>
    <t>2.3.2.</t>
  </si>
  <si>
    <t>2.4.</t>
  </si>
  <si>
    <r>
      <t xml:space="preserve">Parādi piegādātājiem un darbuzņēmējiem </t>
    </r>
    <r>
      <rPr>
        <b/>
        <vertAlign val="superscript"/>
        <sz val="12"/>
        <rFont val="Times New Roman"/>
        <family val="1"/>
      </rPr>
      <t>1</t>
    </r>
  </si>
  <si>
    <t>2.4.1.</t>
  </si>
  <si>
    <t>Johonson AB Latvijas filiāle SIA</t>
  </si>
  <si>
    <t>2.4.2.</t>
  </si>
  <si>
    <t>Baltrade Oy</t>
  </si>
  <si>
    <t>Medasistents SIA</t>
  </si>
  <si>
    <t>2.5.</t>
  </si>
  <si>
    <t>Nodokļi un sociālās nodroš.maksājumi</t>
  </si>
  <si>
    <t>2.5.1.</t>
  </si>
  <si>
    <t>Sociālās nodrošināšanas iemaksas</t>
  </si>
  <si>
    <t>2.5.2.</t>
  </si>
  <si>
    <t>Iedzīvotāju ienākuma nodoklis</t>
  </si>
  <si>
    <t>Pievienotās vērtības nodoklis</t>
  </si>
  <si>
    <t>Uzņēmējdarbības riska nodeva</t>
  </si>
  <si>
    <t>2.6.</t>
  </si>
  <si>
    <r>
      <t xml:space="preserve">Pārējie kreditori </t>
    </r>
    <r>
      <rPr>
        <b/>
        <vertAlign val="superscript"/>
        <sz val="12"/>
        <rFont val="Times New Roman"/>
        <family val="1"/>
      </rPr>
      <t>1</t>
    </r>
  </si>
  <si>
    <t>2.6.1.</t>
  </si>
  <si>
    <t>Neizmaksātās darba algas</t>
  </si>
  <si>
    <t>2.6.2.</t>
  </si>
  <si>
    <t xml:space="preserve">Pārējie kreditori   - 4 gb                                                  </t>
  </si>
  <si>
    <t>2.7.</t>
  </si>
  <si>
    <t>2.7.1.</t>
  </si>
  <si>
    <t>2.7.2.</t>
  </si>
  <si>
    <t>2.8.</t>
  </si>
  <si>
    <t>2.8.1.</t>
  </si>
  <si>
    <t xml:space="preserve">Darbinieku neizmantotie atvaļinājumi par pārskata gadu </t>
  </si>
  <si>
    <t>Debitori</t>
  </si>
  <si>
    <r>
      <t>Pircēju,pasūtītāju parādi</t>
    </r>
    <r>
      <rPr>
        <i/>
        <sz val="12"/>
        <rFont val="Times New Roman"/>
        <family val="1"/>
      </rPr>
      <t xml:space="preserve"> </t>
    </r>
    <r>
      <rPr>
        <b/>
        <vertAlign val="superscript"/>
        <sz val="12"/>
        <rFont val="Times New Roman"/>
        <family val="1"/>
      </rPr>
      <t>2</t>
    </r>
  </si>
  <si>
    <t>Nacionālais veselības dienests</t>
  </si>
  <si>
    <t>Stacionārie medicīniskie pakalpojumi</t>
  </si>
  <si>
    <t>Ambulatorie medicīniskie pakalpojumi</t>
  </si>
  <si>
    <t>Latvijas Universitāte</t>
  </si>
  <si>
    <t>Rīgas Stradiņa universitāte</t>
  </si>
  <si>
    <t>Rezidentu apmācība</t>
  </si>
  <si>
    <t>Radniecīgo uzņēmumu parādi</t>
  </si>
  <si>
    <t>3.</t>
  </si>
  <si>
    <t>Citi debitori</t>
  </si>
  <si>
    <t>3.1.</t>
  </si>
  <si>
    <t>Drošības naudas un maiņas naudas kasēs</t>
  </si>
  <si>
    <t>Maiņas naudas kasēs</t>
  </si>
  <si>
    <t>3.2.</t>
  </si>
  <si>
    <t>Latvijas Pasts, VENDEN SIA</t>
  </si>
  <si>
    <t>Drošības nauda</t>
  </si>
  <si>
    <t>4.</t>
  </si>
  <si>
    <r>
      <t xml:space="preserve">Nākamo periodu izmaksas </t>
    </r>
    <r>
      <rPr>
        <b/>
        <vertAlign val="superscript"/>
        <sz val="12"/>
        <rFont val="Times New Roman"/>
        <family val="1"/>
      </rPr>
      <t>2</t>
    </r>
  </si>
  <si>
    <t>4.1.</t>
  </si>
  <si>
    <t>DPA SIA</t>
  </si>
  <si>
    <t>Licenšu noma</t>
  </si>
  <si>
    <t>4.2.</t>
  </si>
  <si>
    <t>Visma Enterprise SIA</t>
  </si>
  <si>
    <t>Horizon programmatūras abonēšanas maksa</t>
  </si>
  <si>
    <t>Programmatūras uzturēšana un apkalpošana</t>
  </si>
  <si>
    <t>Licenšu noma un programmatūras pakalpojumi</t>
  </si>
  <si>
    <t>5.</t>
  </si>
  <si>
    <r>
      <t xml:space="preserve">Uzkrātie ieņēmumi </t>
    </r>
    <r>
      <rPr>
        <b/>
        <vertAlign val="superscript"/>
        <sz val="12"/>
        <rFont val="Times New Roman"/>
        <family val="1"/>
      </rPr>
      <t>2</t>
    </r>
  </si>
  <si>
    <t>5.1.</t>
  </si>
  <si>
    <t>5.2.</t>
  </si>
  <si>
    <t>6.</t>
  </si>
  <si>
    <t xml:space="preserve">Pārējie debitori </t>
  </si>
  <si>
    <r>
      <rPr>
        <vertAlign val="superscript"/>
        <sz val="12"/>
        <rFont val="Times New Roman"/>
        <family val="1"/>
      </rPr>
      <t>1</t>
    </r>
    <r>
      <rPr>
        <sz val="12"/>
        <rFont val="Times New Roman"/>
        <family val="1"/>
      </rPr>
      <t xml:space="preserve"> jānorāda 5 lielākos kreditorus, visus kavētos maksājumus un pārējo kreditoru kopsummu un kreditoru skaitu</t>
    </r>
  </si>
  <si>
    <r>
      <rPr>
        <vertAlign val="superscript"/>
        <sz val="12"/>
        <rFont val="Times New Roman"/>
        <family val="1"/>
      </rPr>
      <t>2</t>
    </r>
    <r>
      <rPr>
        <sz val="12"/>
        <rFont val="Times New Roman"/>
        <family val="1"/>
      </rPr>
      <t xml:space="preserve"> jānorāda 5 lielākos debitorus, visus kavētos maksājumus, pacientu parādu kopsummu un pārējo debitoru kopsummu un debitoru skaitu</t>
    </r>
  </si>
  <si>
    <t>Radioloģijas nodaļā  remontdarbi (SIA  Detleffi) apmaksa par veiktajiem darbiem - 21726 eiro, rekonstrukcija komunikāciju tīklam (ūdensapgādes cauruļvadu remontdarbi) -6274 eiro</t>
  </si>
  <si>
    <t>Licence - MediCad hospital produktu grupas licence 17243 eiro uzturēšana vienam gadam.</t>
  </si>
  <si>
    <t xml:space="preserve">5. operāciju blokam medicīnisko iekārtu iegāde - (kameras vadības bloks - 22647 eiro, pacientu sildītāji - 4 gb 5448 eiro; 1. oeprāciju bokam (termostats - infūzijas šķidrumu sildī1šanai - 1222 eiro, 3. operāciju blokam (tuneļveida spilveni opāciju galdam - 1260 eiro. Fizioterapijas kabinetam - ceļa un gūžas locītavu izstrādes ierīce - 4350 eiro. </t>
  </si>
  <si>
    <t>Iegāde - 5. operāciju blokam  - video ieraksta un attēlu uzņemšabas sistēma - 4 gb  - 16708 eiro, artroskopi - 2 gb - 3416 eiro, veļas mazgājamā mašīna - 1 gb - 7480 eiro, pufi galvgalim, kāju sekcijai, muguras sekcijai. Iegādātio datori DELL un monitori -3322 eiro. Reanimācijai  - defibrilatora ar monitora iegāde -22615 eiro.</t>
  </si>
  <si>
    <t>Datamed, SIA</t>
  </si>
  <si>
    <t>Nomas pakalpojumiem un rezidentu apmācība</t>
  </si>
  <si>
    <t xml:space="preserve">Rādītājs ir mazs absolūtos skaitļos, tāpēc % novirze nav korekti novērtējama, kā arī rādītājs nav precīzi prognozējams. </t>
  </si>
  <si>
    <t>Pārējie - 91 gb</t>
  </si>
  <si>
    <t>Medicīnas preces</t>
  </si>
  <si>
    <t>Artropulss SIA</t>
  </si>
  <si>
    <t>2.5.3.</t>
  </si>
  <si>
    <t>2.5.4.</t>
  </si>
  <si>
    <t>4.3.</t>
  </si>
  <si>
    <t>4.4.</t>
  </si>
  <si>
    <t>IPRO SIA</t>
  </si>
  <si>
    <t>4.5.</t>
  </si>
  <si>
    <t>2023.g.I-III cet. palielinājušies citi vadīšanas izdevumi - samaksāta nodeva par prasības izpildīšana tiesā, saņemtas konsultācijas par 2025.g. vidējā termiņa stratēģijas izstrādi, vakanču izvietošana sludinājumu portālos, palielinājušies izdevumi par klienta portfeļa izmantošanu Lursoft.</t>
  </si>
  <si>
    <t>Par noguldījumiem bankas kontā tiek aprēķināta noguldījuma procentu likme 1.5% apmērā. 2023.gada I-III cet. pacienti samaksājuši soda naudu pa kavētiem rēķinu apmaksas termiņiem.</t>
  </si>
  <si>
    <t>2023.g.I-III cet. palielinājušies plānotie zaudējumi. Salīdzinot ar plānu izdevumi saimnieciskās darbības nodrošināsanai palielinājušies par 3.6%, savukārt plānotie ieņēmusi samazinājušies par 1.8%.</t>
  </si>
  <si>
    <t>2023.g. I-III cet., slimnīcas pakalpojumu nepārtrauktai nodrošināšanai regulāri tiek veidoti krājumi, lai neparedzētu gadījumu rezultātā būtu izejvielas un materiāli medicīnas pakalpojumu nodrošinai.</t>
  </si>
  <si>
    <t>2023.g.I-III cet. plānots, ka prasības pret pircējiem un pasūtītājiem varētu palielināties ņemot vērā pieaugoša inflāciju. Faktiskā izpilde saglābājusies 2022.g.I-III cet līmenī (1118973 eiro).</t>
  </si>
  <si>
    <t>5230 -2023.g. I-III cet. saņemts avansa maksājums no NVD par medicīnas pakalpojumu nodrošināšanu, avansa maksājusi no pacientiem par plānveida maksas operācijām. 5240 -  salīdzinot ar plānu parādi piegādātājiem un darbuņēmējiem palielinājušies līdz I-III cet. beigām. Esošos naudas līdzekļus sadalam proporcionāli daļēji sedzot saistības pret piegādātājiem, kā arī plānojam, cik līdzekļi nepieciešami algu izmaksai.</t>
  </si>
  <si>
    <t>Budžeta līdzekļu atlikums perioda beigās ir lielāks nekā plānots, jo esošie līdzekļi ir sadalīti proporcinoāli slimnīcas vajadzībām. Daļa naudas iztērēta rēķinu apmaksai, savukārt atlikusī daļa atlikta septembra algu izmaksai oktobrī.</t>
  </si>
  <si>
    <t>Iegāde - Pacientu vitālo funkciju novērošanas monitori - 9 gb - 92487 eiro, 5. operāciju blokam  - video ieraksta un attēlu uzņemšabas sistēma - 4 gb  - 16708 eiro, artroskopi - 2 gb - 3416 eiro, veļas mazgājamā mašīna - 1 gb - 7480 eiro, pufi galvgalim, kāju sekcijai, muguras sekcijai. Iegādātio datori DELL un monitori -3322 eiro. Reanimācijai  - defibrilatora ar monitora iegāde -22615 eiro.</t>
  </si>
  <si>
    <t>Pieaudzis komplicētu pacientu skaits, kam nepieciešamas operācijas vairākos etapos hospitalizācijas laikā</t>
  </si>
  <si>
    <t xml:space="preserve">Rasta iespēja nodrošināt lielāku apjomu  ambulatori un dienas stacionārā veiktajām operācijām </t>
  </si>
  <si>
    <t xml:space="preserve">Kavēti pacientu un apdrošināšanas kompāniju maksājumi </t>
  </si>
  <si>
    <t xml:space="preserve">Mazāk veiktas maksas operācijas, nekā sākotnēji tika plānots. </t>
  </si>
  <si>
    <t>Salīdzinot ar plānu naudas līdzekļu atlikums perioda beigās samazinājies, jo 2023.g. decembrī maksimāli iespēju robežās segtas saistības pret piegādātājiem. 2023.g. decembrī darbiniekiem izmaksāta alga par decembri.</t>
  </si>
  <si>
    <t>2023.gadā plāns administācijas izmaksās ir pārpildīts -pārvaldes personāla algās un darba devēja sociālajam nodoklim par 2.07 %, pārējās izmaksās (sakaru izdevumi, naudas blakus izdevumiem, pamatlīdzekļu nolietojumam administrācijai redzms samazinājums  palielinājušās atsevišķas pozīcijas vadīšanas izdevumos - samaksāta nodeva par prasības izpildīšana tiesā, saņemtas konsultācijas par 2025.g. vidējā termiņa stratēģijas izstrādi, vakanču izvietošana sludinājumu portālos, palielinājušies izdevumi par klienta portfeļa izmantošanu Lursoft.</t>
  </si>
  <si>
    <t>2023. gadā pārējās izmaksās (galvenās - apsardzes pakalpojumi, atkritumu izvešdanas pakalpojumi, programmatūru uzturēšanas pakalpojumi, teritorijas uzkopšanas pakalpojumi, telpu uzturēšanas pakalpojumi, nomas pakalpojumi, saimniecisko iekārtu tehniskā apkope) plāns detalizēti pa pozīcijām ir pārpildīts par 442480 eiro.</t>
  </si>
  <si>
    <t>Par noguldījumiem bankas kontā tiek aprēķināta noguldījuma procentu likme 1.5% apmērā. 2023.gadā pacienti samaksājuši soda naudu pa kavētiem rēķinu apmaksas termiņiem.</t>
  </si>
  <si>
    <t>2023.gadā palielinājušies plānotie zaudējumi. Salīdzinot ar plānu izdevumi saimnieciskās darbības nodrošināsanai palielinājušies par 3.6%, savukārt plānotie ieņēmusi samazinājušies par 1.8%.</t>
  </si>
  <si>
    <t>20223. gadā nemateriālajos ieguldījumos plāns pārpildīts - iegādāta licence datu loģistikas programmai summā 36300 eiro.</t>
  </si>
  <si>
    <t>2023.gadā slimnīcas pakalpojumu nepārtrauktai nodrošināšanai regulāri tiek veidoti krājumi, lai neparedzētu gadījumu rezultātā būtu izejvielas un materiāli medicīnas pakalpojumu nodrošinai.</t>
  </si>
  <si>
    <t>2023.gadā  plānots, ka prasības pret pircējiem un pasūtītājiem varētu palielināties ņemot vērā pieaugoša inflāciju. Faktiskā izpilde 1470706 eiro.</t>
  </si>
  <si>
    <t>2023. gadā  no ilgtermiņa saistībām uz īstermiņa saistībām tika pārcelts (Lagron SIA) garantijas summa EUR 48669.</t>
  </si>
  <si>
    <t>2023. gadā  -  avansa maksājusi no pacientiem par plānveida maksas operācijām- salīdzinot ar plānu parādi piegādātājiem un darbuņēmējiem palielinājušies līdz gada beigām. Esošos naudas līdzekļus sadalam proporcionāli daļēji sedzot saistības pret piegādātājiem, kā arī plānojam, cik līdzekļi nepieciešami algu izmaksai.</t>
  </si>
  <si>
    <t>2023. gadā plāns nebija paredzēts - Iegādāta licence - datu loģistikas programmai "Synapsis" (Arbor Medical Korporācija SIA)</t>
  </si>
  <si>
    <t>2023. gada plāns pamatlīdzekļu kustamajiem īpašumiem ir pārpildīts medicīnas un laboratorijas iekārtām (lielākās izmaksas - aringoskops, asins atkausēšanas iekārta, kājas pozicionēšanas ierīce) par 47873 eiro, datortehnikai un biroja tehnikai (lielākās izmaksas - pacientu vitālo funkciju novērošanas monitori) par 108773 eiro, saimniecības pamatlīdzekļiem ( lielākās izmaksas - durvis automātiskās veramās) par 95632 eiro.</t>
  </si>
  <si>
    <t>2023. gadā plāns nebija paredzēts - izmaksās -Radioloģijas nodaļā  remontdarbi (SIA  Detleffi) apmaksa par veiktajiem darbiem - 21726 eiro, rekonstrukcija komunikāciju tīklam (ūdensapgādes cauruļvadu remontdarbi) -6274 eiro</t>
  </si>
  <si>
    <t>2023. gadā nebija plānots - Iegādāta licence - datu loģistikas programmai "Synapsis" (Arbor Medical Korporācija SIA)</t>
  </si>
  <si>
    <t>2023. gadā nebija plānots - Radioloģijas nodaļā  remontdarbi (SIA  Detleffi) apmaksa par veiktajiem darbiem - 21726 eiro, rekonstrukcija komunikāciju tīklam (ūdensapgādes cauruļvadu remontdarbi) -6274 eiro</t>
  </si>
  <si>
    <t xml:space="preserve">2023. gada plāns pamatlīdzekļu kustamajiem īpašumiem ir pārpildīts medicīnas un laboratorijas iekārtām (lielākās izmaksas - aringoskops, asins atkausēšanas iekārta, kājas pozicionēšanas ierīce) par 47873 eiro, datortehnikai un biroja tehnikai (lielākās izmaksas - pacientu vitālo funkciju novērošanas monitori) par 108773 eiro, saimniecības pamatlīdzekļiem ( lielākās izmaksas - durvis automātiskās veramās) par 95632 eiro. </t>
  </si>
  <si>
    <t>Laringoskops ar piederumiem (Tradintex SIA)</t>
  </si>
  <si>
    <t xml:space="preserve">Asins komponentu atkausēšanas iekārta </t>
  </si>
  <si>
    <t>Kājas pozicionēšanas ierīce (AB Medical Group Rīga SIA)</t>
  </si>
  <si>
    <t>RTG starus caurlaidoša lāpstiņa ( Elanus Medical Latvija SIA)</t>
  </si>
  <si>
    <t>Žnāuga sistēmai manžete (Arbor Medical Korporācija SIA)</t>
  </si>
  <si>
    <t xml:space="preserve">Pārējās iekārtas </t>
  </si>
  <si>
    <t>Durvis automātiskās - veramās  (Latfortas SIA)</t>
  </si>
  <si>
    <t>Pārējie saimnieciskie (iegāti krēsli, gultas, televizori, dīvāni un rekonstrukcija pamatlīdzekļiem)</t>
  </si>
  <si>
    <t>Pacienta vitālo fumkciju novērošanas monitors - 9 gb</t>
  </si>
  <si>
    <t>Datori</t>
  </si>
  <si>
    <t>Monitori</t>
  </si>
  <si>
    <t xml:space="preserve">Displeji - profesionālie </t>
  </si>
  <si>
    <t xml:space="preserve">No pircējiem saņemtie avansi </t>
  </si>
  <si>
    <t>Fiziskas personas (pacienti )</t>
  </si>
  <si>
    <t>Fiziskao personu - pacientu 103 gb priekšapmaksa maksas operācijām un maksas konsultācijām attālināti.</t>
  </si>
  <si>
    <t>Lagron SIA</t>
  </si>
  <si>
    <t>Pārējie - 97 gb</t>
  </si>
  <si>
    <t>Nekustamā īpašuma nodoklis</t>
  </si>
  <si>
    <t>BTA Baltic Insurance Company AAS</t>
  </si>
  <si>
    <t>Apdrošinātāji - pacientu pakalpojumiem</t>
  </si>
  <si>
    <t>Slimību profilakses un kontroles centrs</t>
  </si>
  <si>
    <t>Nomas pakalpojumi</t>
  </si>
  <si>
    <t>Pārējie - 7167 gb</t>
  </si>
  <si>
    <t>Uzkrājumi veidoti EUR 219 560</t>
  </si>
  <si>
    <t>Infotrust SIA</t>
  </si>
  <si>
    <t>Licenču noma</t>
  </si>
  <si>
    <t>Pārējie - 16 gb</t>
  </si>
  <si>
    <t>2023.gada izpilde</t>
  </si>
  <si>
    <t>2024.gada
 plāns</t>
  </si>
  <si>
    <t>Plāns periodam no 2024. gada sākuma līdz I ceturkšņa beigām</t>
  </si>
  <si>
    <t>Izpilde periodā no 2024. gada sākuma līdz I ceturkšņa beigām</t>
  </si>
  <si>
    <t>Novirze no 2024. gada pārskata perioda plāna, euro</t>
  </si>
  <si>
    <t>Novirze no 2024. gada pārskata perioda plāna, %</t>
  </si>
  <si>
    <t>Plāns periodam no 2024. gada sākuma līdz II ceturkšņa beigām</t>
  </si>
  <si>
    <t>Izpilde periodā no 2024. gada sākuma līdz II ceturkšņa beigām</t>
  </si>
  <si>
    <t>Plāns periodam no 2024. gada sākuma līdz III ceturkšņa beigām</t>
  </si>
  <si>
    <t>Izpilde periodā no 2024. gada sākuma līdz III ceturkšņa beigām</t>
  </si>
  <si>
    <t>Plāns periodam no 2024. gada sākuma līdz IV ceturkšņa beigām</t>
  </si>
  <si>
    <t>Izpilde periodā no 2024. gada sākuma līdz VI ceturkšņa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</si>
</sst>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s>
  <fonts count="69"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color indexed="9"/>
      <name val="Times New Roman"/>
      <family val="1"/>
    </font>
    <font>
      <b/>
      <sz val="14"/>
      <name val="Times New Roman"/>
      <family val="1"/>
      <charset val="186"/>
    </font>
    <font>
      <sz val="14"/>
      <name val="Times New Roman"/>
      <family val="1"/>
      <charset val="186"/>
    </font>
    <font>
      <b/>
      <sz val="12"/>
      <name val="Times New Roman"/>
      <family val="1"/>
    </font>
    <font>
      <sz val="12"/>
      <name val="Times New Roman"/>
      <family val="1"/>
    </font>
    <font>
      <i/>
      <sz val="12"/>
      <name val="Times New Roman"/>
      <family val="1"/>
    </font>
    <font>
      <sz val="8"/>
      <name val="Arial"/>
      <family val="2"/>
      <charset val="186"/>
    </font>
    <font>
      <vertAlign val="superscript"/>
      <sz val="12"/>
      <name val="Times New Roman"/>
      <family val="1"/>
    </font>
    <font>
      <b/>
      <i/>
      <sz val="12"/>
      <name val="Times New Roman"/>
      <family val="1"/>
    </font>
    <font>
      <u/>
      <sz val="12"/>
      <name val="Times New Roman"/>
      <family val="1"/>
    </font>
    <font>
      <b/>
      <u/>
      <sz val="12"/>
      <name val="Times New Roman"/>
      <family val="1"/>
    </font>
    <font>
      <sz val="12"/>
      <color theme="1"/>
      <name val="Calibri"/>
      <family val="2"/>
      <charset val="186"/>
      <scheme val="minor"/>
    </font>
    <font>
      <i/>
      <vertAlign val="superscript"/>
      <sz val="12"/>
      <name val="Times New Roman"/>
      <family val="1"/>
    </font>
    <font>
      <b/>
      <sz val="12"/>
      <color rgb="FF414142"/>
      <name val="Times New Roman"/>
      <family val="1"/>
    </font>
    <font>
      <b/>
      <sz val="12"/>
      <name val="Times New Roman"/>
      <family val="1"/>
      <charset val="186"/>
    </font>
    <font>
      <i/>
      <sz val="12"/>
      <name val="Times New Roman"/>
      <family val="1"/>
      <charset val="186"/>
    </font>
    <font>
      <b/>
      <i/>
      <sz val="12"/>
      <name val="Times New Roman"/>
      <family val="1"/>
      <charset val="186"/>
    </font>
    <font>
      <b/>
      <i/>
      <sz val="14"/>
      <name val="Times New Roman"/>
      <family val="1"/>
      <charset val="186"/>
    </font>
    <font>
      <u/>
      <sz val="12"/>
      <name val="Times New Roman"/>
      <family val="1"/>
      <charset val="186"/>
    </font>
    <font>
      <sz val="12"/>
      <name val="Arial"/>
      <family val="2"/>
      <charset val="186"/>
    </font>
    <font>
      <b/>
      <sz val="14"/>
      <name val="Arial"/>
      <family val="2"/>
      <charset val="186"/>
    </font>
    <font>
      <b/>
      <vertAlign val="superscript"/>
      <sz val="12"/>
      <name val="Times New Roman"/>
      <family val="1"/>
    </font>
    <font>
      <sz val="12"/>
      <color rgb="FFFF0000"/>
      <name val="Times New Roman"/>
      <family val="1"/>
    </font>
    <font>
      <b/>
      <sz val="12"/>
      <color rgb="FFFF0000"/>
      <name val="Times New Roman"/>
      <family val="1"/>
    </font>
    <font>
      <sz val="12"/>
      <color rgb="FFFF0000"/>
      <name val="Times New Roman"/>
      <family val="1"/>
      <charset val="186"/>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top/>
      <bottom/>
      <diagonal/>
    </border>
    <border>
      <left style="thin">
        <color rgb="FF000000"/>
      </left>
      <right style="thin">
        <color rgb="FF000000"/>
      </right>
      <top/>
      <bottom/>
      <diagonal/>
    </border>
  </borders>
  <cellStyleXfs count="1468">
    <xf numFmtId="0" fontId="0" fillId="0" borderId="0"/>
    <xf numFmtId="0" fontId="6" fillId="0" borderId="0"/>
    <xf numFmtId="0" fontId="6" fillId="0" borderId="0"/>
    <xf numFmtId="0" fontId="5" fillId="0" borderId="0"/>
    <xf numFmtId="0" fontId="4" fillId="0" borderId="0"/>
    <xf numFmtId="0" fontId="6" fillId="0" borderId="0"/>
    <xf numFmtId="0" fontId="6" fillId="0" borderId="0"/>
    <xf numFmtId="0" fontId="3" fillId="0" borderId="0"/>
    <xf numFmtId="0" fontId="2"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27" fillId="0"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41" fontId="6" fillId="0" borderId="0" applyFont="0" applyFill="0" applyBorder="0" applyAlignment="0" applyProtection="0"/>
    <xf numFmtId="165" fontId="10"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7" fillId="0" borderId="15"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1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1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7" borderId="13" applyNumberFormat="0" applyAlignment="0" applyProtection="0"/>
    <xf numFmtId="0" fontId="20" fillId="7"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10" fillId="0" borderId="0"/>
    <xf numFmtId="0" fontId="10" fillId="0" borderId="0"/>
    <xf numFmtId="0" fontId="6" fillId="0" borderId="0"/>
    <xf numFmtId="0" fontId="33"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1" fillId="0" borderId="0"/>
    <xf numFmtId="0" fontId="1"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35" fillId="0" borderId="0" applyFont="0" applyFill="0" applyAlignment="0" applyProtection="0"/>
    <xf numFmtId="0" fontId="35" fillId="0" borderId="0" applyFont="0" applyFill="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33" fillId="11" borderId="22" applyNumberFormat="0" applyFont="0" applyAlignment="0" applyProtection="0"/>
    <xf numFmtId="0" fontId="3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6" fillId="0" borderId="0"/>
  </cellStyleXfs>
  <cellXfs count="654">
    <xf numFmtId="0" fontId="0" fillId="0" borderId="0" xfId="0"/>
    <xf numFmtId="3" fontId="40" fillId="0" borderId="0" xfId="0" applyNumberFormat="1" applyFont="1" applyAlignment="1">
      <alignment vertical="center"/>
    </xf>
    <xf numFmtId="3" fontId="41" fillId="0" borderId="0" xfId="0" applyNumberFormat="1" applyFont="1" applyAlignment="1">
      <alignment vertical="center"/>
    </xf>
    <xf numFmtId="3" fontId="44" fillId="0" borderId="0" xfId="0" applyNumberFormat="1" applyFont="1" applyAlignment="1">
      <alignment vertical="center"/>
    </xf>
    <xf numFmtId="3" fontId="43" fillId="0" borderId="0" xfId="0" applyNumberFormat="1" applyFont="1" applyAlignment="1">
      <alignment vertical="center"/>
    </xf>
    <xf numFmtId="3" fontId="40" fillId="0" borderId="0" xfId="0" applyNumberFormat="1" applyFont="1" applyAlignment="1">
      <alignment horizontal="center" vertical="center"/>
    </xf>
    <xf numFmtId="0" fontId="39" fillId="0" borderId="0" xfId="0" applyFont="1" applyAlignment="1">
      <alignment vertical="center"/>
    </xf>
    <xf numFmtId="0" fontId="39" fillId="0" borderId="0" xfId="1467" applyFont="1" applyAlignment="1">
      <alignment vertical="center"/>
    </xf>
    <xf numFmtId="0" fontId="46" fillId="0" borderId="0" xfId="1467" applyFont="1" applyAlignment="1" applyProtection="1">
      <alignment vertical="center"/>
      <protection locked="0"/>
    </xf>
    <xf numFmtId="0" fontId="46" fillId="0" borderId="0" xfId="1467" applyFont="1" applyAlignment="1">
      <alignment vertical="center"/>
    </xf>
    <xf numFmtId="0" fontId="46" fillId="0" borderId="0" xfId="1467" applyFont="1" applyAlignment="1">
      <alignment horizontal="center" vertical="center"/>
    </xf>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0" fontId="42" fillId="0" borderId="0" xfId="0" applyFont="1" applyAlignment="1">
      <alignment horizontal="center" vertical="center"/>
    </xf>
    <xf numFmtId="0" fontId="47" fillId="0" borderId="1" xfId="1" applyFont="1" applyBorder="1" applyAlignment="1">
      <alignment horizontal="center" vertical="center"/>
    </xf>
    <xf numFmtId="3" fontId="48" fillId="0" borderId="1" xfId="6" applyNumberFormat="1" applyFont="1" applyBorder="1" applyAlignment="1">
      <alignment vertical="center" wrapText="1"/>
    </xf>
    <xf numFmtId="3" fontId="48" fillId="2" borderId="1" xfId="6" applyNumberFormat="1" applyFont="1" applyFill="1" applyBorder="1" applyAlignment="1">
      <alignment vertical="center" wrapText="1"/>
    </xf>
    <xf numFmtId="49" fontId="48" fillId="0" borderId="1" xfId="1" applyNumberFormat="1" applyFont="1" applyBorder="1" applyAlignment="1">
      <alignment horizontal="center" vertical="center"/>
    </xf>
    <xf numFmtId="3" fontId="48" fillId="0" borderId="1" xfId="0" applyNumberFormat="1" applyFont="1" applyBorder="1" applyAlignment="1" applyProtection="1">
      <alignment horizontal="right" vertical="center"/>
      <protection locked="0"/>
    </xf>
    <xf numFmtId="0" fontId="45" fillId="0" borderId="0" xfId="1467" applyFont="1" applyAlignment="1">
      <alignment horizontal="center" vertical="center"/>
    </xf>
    <xf numFmtId="0" fontId="45" fillId="0" borderId="0" xfId="1467" applyFont="1" applyAlignment="1">
      <alignment vertical="center" wrapText="1"/>
    </xf>
    <xf numFmtId="3" fontId="45" fillId="0" borderId="0" xfId="1467" applyNumberFormat="1" applyFont="1" applyAlignment="1">
      <alignment horizontal="center" vertical="center"/>
    </xf>
    <xf numFmtId="49" fontId="45" fillId="0" borderId="0" xfId="1467" applyNumberFormat="1" applyFont="1" applyAlignment="1">
      <alignment horizontal="center" vertical="center"/>
    </xf>
    <xf numFmtId="0" fontId="48" fillId="0" borderId="1" xfId="1467" applyFont="1" applyBorder="1" applyAlignment="1">
      <alignment horizontal="center" vertical="center"/>
    </xf>
    <xf numFmtId="3" fontId="48" fillId="0" borderId="1" xfId="0" applyNumberFormat="1" applyFont="1" applyBorder="1" applyAlignment="1">
      <alignment horizontal="center" vertical="center" wrapText="1"/>
    </xf>
    <xf numFmtId="3" fontId="49" fillId="3" borderId="1" xfId="0" applyNumberFormat="1" applyFont="1" applyFill="1" applyBorder="1" applyAlignment="1">
      <alignment horizontal="center" vertical="center" wrapText="1"/>
    </xf>
    <xf numFmtId="166" fontId="49" fillId="3" borderId="1" xfId="12" applyNumberFormat="1" applyFont="1" applyFill="1" applyBorder="1" applyAlignment="1" applyProtection="1">
      <alignment horizontal="center" vertical="center" wrapText="1"/>
    </xf>
    <xf numFmtId="3" fontId="49" fillId="3" borderId="1" xfId="12" applyNumberFormat="1" applyFont="1" applyFill="1" applyBorder="1" applyAlignment="1" applyProtection="1">
      <alignment horizontal="center" vertical="center" wrapText="1"/>
    </xf>
    <xf numFmtId="9" fontId="49" fillId="0" borderId="1" xfId="12" applyFont="1" applyFill="1" applyBorder="1" applyAlignment="1" applyProtection="1">
      <alignment horizontal="center" vertical="center"/>
      <protection locked="0"/>
    </xf>
    <xf numFmtId="9" fontId="52" fillId="28" borderId="1" xfId="12" applyFont="1" applyFill="1" applyBorder="1" applyAlignment="1" applyProtection="1">
      <alignment horizontal="center" vertical="center"/>
    </xf>
    <xf numFmtId="3" fontId="53" fillId="0" borderId="0" xfId="0" applyNumberFormat="1" applyFont="1" applyAlignment="1">
      <alignment vertical="center"/>
    </xf>
    <xf numFmtId="3" fontId="48" fillId="2" borderId="1" xfId="6" applyNumberFormat="1" applyFont="1" applyFill="1" applyBorder="1" applyAlignment="1">
      <alignment horizontal="center" vertical="center" wrapText="1"/>
    </xf>
    <xf numFmtId="0" fontId="48" fillId="0" borderId="0" xfId="0" applyFont="1" applyAlignment="1">
      <alignment vertical="center"/>
    </xf>
    <xf numFmtId="0" fontId="48" fillId="0" borderId="1" xfId="0" applyFont="1" applyBorder="1" applyAlignment="1">
      <alignment horizontal="center" vertical="center"/>
    </xf>
    <xf numFmtId="0" fontId="47" fillId="28" borderId="1" xfId="1" applyFont="1" applyFill="1" applyBorder="1" applyAlignment="1">
      <alignment horizontal="left" vertical="center"/>
    </xf>
    <xf numFmtId="3" fontId="47" fillId="28" borderId="1" xfId="1" applyNumberFormat="1" applyFont="1" applyFill="1" applyBorder="1" applyAlignment="1">
      <alignment horizontal="right" vertical="center"/>
    </xf>
    <xf numFmtId="3" fontId="52" fillId="28" borderId="1" xfId="1" applyNumberFormat="1" applyFont="1" applyFill="1" applyBorder="1" applyAlignment="1">
      <alignment horizontal="center" vertical="center"/>
    </xf>
    <xf numFmtId="49" fontId="47" fillId="28" borderId="1" xfId="1" applyNumberFormat="1" applyFont="1" applyFill="1" applyBorder="1" applyAlignment="1">
      <alignment vertical="center"/>
    </xf>
    <xf numFmtId="3" fontId="48" fillId="2" borderId="1" xfId="6" applyNumberFormat="1" applyFont="1" applyFill="1" applyBorder="1" applyAlignment="1">
      <alignment horizontal="left" vertical="center" wrapText="1"/>
    </xf>
    <xf numFmtId="3" fontId="48" fillId="0" borderId="1" xfId="1" applyNumberFormat="1" applyFont="1" applyBorder="1" applyAlignment="1" applyProtection="1">
      <alignment horizontal="right" vertical="center"/>
      <protection locked="0"/>
    </xf>
    <xf numFmtId="3" fontId="49" fillId="0" borderId="1" xfId="1" applyNumberFormat="1" applyFont="1" applyBorder="1" applyAlignment="1" applyProtection="1">
      <alignment horizontal="center" vertical="center"/>
      <protection locked="0"/>
    </xf>
    <xf numFmtId="0" fontId="48" fillId="0" borderId="0" xfId="0" applyFont="1" applyAlignment="1" applyProtection="1">
      <alignment vertical="center"/>
      <protection locked="0"/>
    </xf>
    <xf numFmtId="0" fontId="48" fillId="0" borderId="1" xfId="0" applyFont="1" applyBorder="1" applyAlignment="1" applyProtection="1">
      <alignment vertical="center"/>
      <protection locked="0"/>
    </xf>
    <xf numFmtId="3" fontId="48" fillId="0" borderId="1" xfId="6" applyNumberFormat="1" applyFont="1" applyBorder="1" applyAlignment="1">
      <alignment horizontal="left" vertical="center" wrapText="1"/>
    </xf>
    <xf numFmtId="3" fontId="48" fillId="2" borderId="1" xfId="1" applyNumberFormat="1" applyFont="1" applyFill="1" applyBorder="1" applyAlignment="1" applyProtection="1">
      <alignment horizontal="right" vertical="center"/>
      <protection locked="0"/>
    </xf>
    <xf numFmtId="3" fontId="49" fillId="2" borderId="1" xfId="1" applyNumberFormat="1" applyFont="1" applyFill="1" applyBorder="1" applyAlignment="1" applyProtection="1">
      <alignment horizontal="center" vertical="center"/>
      <protection locked="0"/>
    </xf>
    <xf numFmtId="9" fontId="49" fillId="2" borderId="1" xfId="12" applyFont="1" applyFill="1" applyBorder="1" applyAlignment="1" applyProtection="1">
      <alignment horizontal="center" vertical="center"/>
      <protection locked="0"/>
    </xf>
    <xf numFmtId="0" fontId="48" fillId="2" borderId="1" xfId="0" applyFont="1" applyFill="1" applyBorder="1" applyAlignment="1">
      <alignment horizontal="left" vertical="center"/>
    </xf>
    <xf numFmtId="0" fontId="47" fillId="0" borderId="0" xfId="1" applyFont="1" applyAlignment="1">
      <alignment horizontal="left" vertical="center"/>
    </xf>
    <xf numFmtId="3" fontId="47" fillId="0" borderId="0" xfId="6" applyNumberFormat="1" applyFont="1" applyAlignment="1">
      <alignment horizontal="left" vertical="center"/>
    </xf>
    <xf numFmtId="3" fontId="47" fillId="0" borderId="0" xfId="1" applyNumberFormat="1" applyFont="1" applyAlignment="1">
      <alignment horizontal="right" vertical="center"/>
    </xf>
    <xf numFmtId="3" fontId="52" fillId="0" borderId="0" xfId="1" applyNumberFormat="1" applyFont="1" applyAlignment="1">
      <alignment horizontal="center" vertical="center"/>
    </xf>
    <xf numFmtId="9" fontId="52" fillId="0" borderId="0" xfId="12" applyFont="1" applyFill="1" applyBorder="1" applyAlignment="1" applyProtection="1">
      <alignment horizontal="center" vertical="center"/>
    </xf>
    <xf numFmtId="49" fontId="47" fillId="0" borderId="0" xfId="1" applyNumberFormat="1" applyFont="1" applyAlignment="1">
      <alignment horizontal="left" vertical="center"/>
    </xf>
    <xf numFmtId="0" fontId="49" fillId="0" borderId="0" xfId="0" applyFont="1" applyAlignment="1" applyProtection="1">
      <alignment horizontal="center" vertical="center"/>
      <protection locked="0"/>
    </xf>
    <xf numFmtId="3" fontId="48" fillId="28" borderId="1" xfId="1" applyNumberFormat="1" applyFont="1" applyFill="1" applyBorder="1" applyAlignment="1">
      <alignment horizontal="right" vertical="center"/>
    </xf>
    <xf numFmtId="3" fontId="47" fillId="28" borderId="1" xfId="6" applyNumberFormat="1" applyFont="1" applyFill="1" applyBorder="1" applyAlignment="1">
      <alignment horizontal="left" vertical="center" wrapText="1"/>
    </xf>
    <xf numFmtId="3" fontId="49" fillId="28" borderId="1" xfId="1" applyNumberFormat="1" applyFont="1" applyFill="1" applyBorder="1" applyAlignment="1">
      <alignment horizontal="center" vertical="center"/>
    </xf>
    <xf numFmtId="9" fontId="49" fillId="28" borderId="1" xfId="12" applyFont="1" applyFill="1" applyBorder="1" applyAlignment="1" applyProtection="1">
      <alignment horizontal="center" vertical="center"/>
    </xf>
    <xf numFmtId="3" fontId="47" fillId="28" borderId="1" xfId="1" applyNumberFormat="1" applyFont="1" applyFill="1" applyBorder="1" applyAlignment="1" applyProtection="1">
      <alignment horizontal="right" vertical="center"/>
      <protection locked="0"/>
    </xf>
    <xf numFmtId="3" fontId="52" fillId="28" borderId="1" xfId="1" applyNumberFormat="1" applyFont="1" applyFill="1" applyBorder="1" applyAlignment="1" applyProtection="1">
      <alignment horizontal="center" vertical="center"/>
      <protection locked="0"/>
    </xf>
    <xf numFmtId="9" fontId="52" fillId="28" borderId="1" xfId="12" applyFont="1" applyFill="1" applyBorder="1" applyAlignment="1" applyProtection="1">
      <alignment horizontal="center" vertical="center"/>
      <protection locked="0"/>
    </xf>
    <xf numFmtId="0" fontId="47" fillId="28" borderId="1" xfId="6" applyFont="1" applyFill="1" applyBorder="1" applyAlignment="1">
      <alignment horizontal="left" vertical="center" wrapText="1"/>
    </xf>
    <xf numFmtId="3" fontId="47" fillId="28" borderId="1" xfId="6" applyNumberFormat="1" applyFont="1" applyFill="1" applyBorder="1" applyAlignment="1">
      <alignment horizontal="left" vertical="center"/>
    </xf>
    <xf numFmtId="0" fontId="48" fillId="0" borderId="0" xfId="1467" applyFont="1" applyAlignment="1">
      <alignment horizontal="left" vertical="top" wrapText="1"/>
    </xf>
    <xf numFmtId="0" fontId="49" fillId="0" borderId="0" xfId="0" applyFont="1" applyAlignment="1">
      <alignment horizontal="center" vertical="center"/>
    </xf>
    <xf numFmtId="0" fontId="48" fillId="2" borderId="1" xfId="6" applyFont="1" applyFill="1" applyBorder="1" applyAlignment="1">
      <alignment horizontal="center" vertical="center"/>
    </xf>
    <xf numFmtId="0" fontId="48" fillId="2" borderId="1" xfId="6" applyFont="1" applyFill="1" applyBorder="1" applyAlignment="1">
      <alignment vertical="center" wrapText="1"/>
    </xf>
    <xf numFmtId="3" fontId="48" fillId="2" borderId="1" xfId="6" applyNumberFormat="1" applyFont="1" applyFill="1" applyBorder="1" applyAlignment="1">
      <alignment horizontal="right" vertical="center" wrapText="1"/>
    </xf>
    <xf numFmtId="3" fontId="49" fillId="2" borderId="1" xfId="6" applyNumberFormat="1" applyFont="1" applyFill="1" applyBorder="1" applyAlignment="1">
      <alignment horizontal="center" vertical="center" wrapText="1"/>
    </xf>
    <xf numFmtId="9" fontId="49" fillId="2" borderId="1" xfId="12" applyFont="1" applyFill="1" applyBorder="1" applyAlignment="1" applyProtection="1">
      <alignment horizontal="center" vertical="center" wrapText="1"/>
    </xf>
    <xf numFmtId="49" fontId="48" fillId="2" borderId="26" xfId="6" applyNumberFormat="1" applyFont="1" applyFill="1" applyBorder="1" applyAlignment="1">
      <alignment horizontal="left" vertical="center" wrapText="1"/>
    </xf>
    <xf numFmtId="0" fontId="48" fillId="2" borderId="1" xfId="6" applyFont="1" applyFill="1" applyBorder="1" applyAlignment="1">
      <alignment horizontal="left" vertical="center" wrapText="1" indent="3"/>
    </xf>
    <xf numFmtId="49" fontId="48" fillId="2" borderId="4" xfId="6" applyNumberFormat="1" applyFont="1" applyFill="1" applyBorder="1" applyAlignment="1">
      <alignment horizontal="center" vertical="center" wrapText="1"/>
    </xf>
    <xf numFmtId="3" fontId="48" fillId="2" borderId="1" xfId="0" applyNumberFormat="1" applyFont="1" applyFill="1" applyBorder="1" applyAlignment="1">
      <alignment horizontal="left" vertical="center" wrapText="1" indent="3"/>
    </xf>
    <xf numFmtId="3" fontId="48" fillId="2" borderId="1" xfId="0" applyNumberFormat="1" applyFont="1" applyFill="1" applyBorder="1" applyAlignment="1">
      <alignment horizontal="left" vertical="center" wrapText="1"/>
    </xf>
    <xf numFmtId="3" fontId="48" fillId="2" borderId="1" xfId="6" applyNumberFormat="1" applyFont="1" applyFill="1" applyBorder="1" applyAlignment="1">
      <alignment horizontal="right" vertical="center"/>
    </xf>
    <xf numFmtId="3" fontId="49" fillId="2" borderId="1" xfId="6" applyNumberFormat="1" applyFont="1" applyFill="1" applyBorder="1" applyAlignment="1">
      <alignment horizontal="center" vertical="center"/>
    </xf>
    <xf numFmtId="9" fontId="49" fillId="2" borderId="1" xfId="12" applyFont="1" applyFill="1" applyBorder="1" applyAlignment="1" applyProtection="1">
      <alignment horizontal="center" vertical="center"/>
    </xf>
    <xf numFmtId="49" fontId="48" fillId="2" borderId="4" xfId="6" applyNumberFormat="1" applyFont="1" applyFill="1" applyBorder="1" applyAlignment="1">
      <alignment horizontal="center" vertical="center"/>
    </xf>
    <xf numFmtId="0" fontId="48" fillId="2" borderId="1" xfId="6" applyFont="1" applyFill="1" applyBorder="1" applyAlignment="1">
      <alignment horizontal="left" vertical="center" wrapText="1"/>
    </xf>
    <xf numFmtId="3" fontId="48" fillId="2" borderId="1" xfId="6" applyNumberFormat="1" applyFont="1" applyFill="1" applyBorder="1" applyAlignment="1" applyProtection="1">
      <alignment horizontal="right" vertical="center"/>
      <protection locked="0"/>
    </xf>
    <xf numFmtId="3" fontId="49" fillId="2" borderId="1" xfId="6" applyNumberFormat="1" applyFont="1" applyFill="1" applyBorder="1" applyAlignment="1" applyProtection="1">
      <alignment horizontal="center" vertical="center"/>
      <protection locked="0"/>
    </xf>
    <xf numFmtId="49" fontId="48" fillId="2" borderId="1" xfId="6" applyNumberFormat="1" applyFont="1" applyFill="1" applyBorder="1" applyAlignment="1" applyProtection="1">
      <alignment horizontal="left" vertical="center"/>
      <protection locked="0"/>
    </xf>
    <xf numFmtId="3" fontId="48" fillId="2" borderId="1" xfId="1" applyNumberFormat="1" applyFont="1" applyFill="1" applyBorder="1" applyAlignment="1">
      <alignment horizontal="left" vertical="center" wrapText="1"/>
    </xf>
    <xf numFmtId="49" fontId="48" fillId="2" borderId="26" xfId="6" applyNumberFormat="1" applyFont="1" applyFill="1" applyBorder="1" applyAlignment="1">
      <alignment horizontal="left" vertical="center"/>
    </xf>
    <xf numFmtId="49" fontId="47" fillId="0" borderId="26" xfId="0" applyNumberFormat="1" applyFont="1" applyBorder="1" applyAlignment="1">
      <alignment horizontal="left" vertical="center"/>
    </xf>
    <xf numFmtId="0" fontId="48" fillId="0" borderId="1" xfId="0" applyFont="1" applyBorder="1" applyAlignment="1">
      <alignment vertical="center" wrapText="1"/>
    </xf>
    <xf numFmtId="3" fontId="49" fillId="0" borderId="1" xfId="0" applyNumberFormat="1" applyFont="1" applyBorder="1" applyAlignment="1" applyProtection="1">
      <alignment horizontal="center" vertical="center"/>
      <protection locked="0"/>
    </xf>
    <xf numFmtId="49" fontId="48" fillId="0" borderId="1" xfId="0" applyNumberFormat="1" applyFont="1" applyBorder="1" applyAlignment="1" applyProtection="1">
      <alignment horizontal="left" vertical="center"/>
      <protection locked="0"/>
    </xf>
    <xf numFmtId="49" fontId="47" fillId="0" borderId="1" xfId="0" applyNumberFormat="1" applyFont="1" applyBorder="1" applyAlignment="1" applyProtection="1">
      <alignment horizontal="left" vertical="center"/>
      <protection locked="0"/>
    </xf>
    <xf numFmtId="3" fontId="48" fillId="0" borderId="1" xfId="0" applyNumberFormat="1" applyFont="1" applyBorder="1" applyAlignment="1">
      <alignment horizontal="right" vertical="center"/>
    </xf>
    <xf numFmtId="3" fontId="49" fillId="0" borderId="1" xfId="0" applyNumberFormat="1" applyFont="1" applyBorder="1" applyAlignment="1">
      <alignment horizontal="center" vertical="center"/>
    </xf>
    <xf numFmtId="9" fontId="49" fillId="0" borderId="1" xfId="12" applyFont="1" applyFill="1" applyBorder="1" applyAlignment="1" applyProtection="1">
      <alignment horizontal="center" vertical="center"/>
    </xf>
    <xf numFmtId="0" fontId="48" fillId="2" borderId="1" xfId="0" applyFont="1" applyFill="1" applyBorder="1" applyAlignment="1">
      <alignment horizontal="center" vertical="center"/>
    </xf>
    <xf numFmtId="0" fontId="48" fillId="2" borderId="1" xfId="0" applyFont="1" applyFill="1" applyBorder="1" applyAlignment="1">
      <alignment horizontal="left" vertical="center" wrapText="1" indent="3"/>
    </xf>
    <xf numFmtId="3" fontId="48" fillId="2" borderId="1" xfId="0" applyNumberFormat="1" applyFont="1" applyFill="1" applyBorder="1" applyAlignment="1">
      <alignment horizontal="right" vertical="center"/>
    </xf>
    <xf numFmtId="3" fontId="49" fillId="2" borderId="1" xfId="0" applyNumberFormat="1" applyFont="1" applyFill="1" applyBorder="1" applyAlignment="1">
      <alignment horizontal="center" vertical="center"/>
    </xf>
    <xf numFmtId="49" fontId="47" fillId="0" borderId="4" xfId="0" applyNumberFormat="1" applyFont="1" applyBorder="1" applyAlignment="1">
      <alignment horizontal="center" vertical="center"/>
    </xf>
    <xf numFmtId="49" fontId="47" fillId="0" borderId="1" xfId="0" applyNumberFormat="1" applyFont="1" applyBorder="1" applyAlignment="1">
      <alignment vertical="center"/>
    </xf>
    <xf numFmtId="0" fontId="48" fillId="0" borderId="1" xfId="6" applyFont="1" applyBorder="1" applyAlignment="1">
      <alignment horizontal="center" vertical="center"/>
    </xf>
    <xf numFmtId="16" fontId="48" fillId="0" borderId="1" xfId="6" applyNumberFormat="1" applyFont="1" applyBorder="1" applyAlignment="1">
      <alignment vertical="center" wrapText="1"/>
    </xf>
    <xf numFmtId="3" fontId="48" fillId="0" borderId="1" xfId="6" applyNumberFormat="1" applyFont="1" applyBorder="1" applyAlignment="1" applyProtection="1">
      <alignment horizontal="right" vertical="center"/>
      <protection locked="0"/>
    </xf>
    <xf numFmtId="3" fontId="49" fillId="0" borderId="1" xfId="6" applyNumberFormat="1" applyFont="1" applyBorder="1" applyAlignment="1" applyProtection="1">
      <alignment horizontal="center" vertical="center"/>
      <protection locked="0"/>
    </xf>
    <xf numFmtId="49" fontId="47" fillId="0" borderId="1" xfId="6" applyNumberFormat="1" applyFont="1" applyBorder="1" applyAlignment="1" applyProtection="1">
      <alignment horizontal="left" vertical="center"/>
      <protection locked="0"/>
    </xf>
    <xf numFmtId="49" fontId="47" fillId="0" borderId="4" xfId="6" applyNumberFormat="1" applyFont="1" applyBorder="1" applyAlignment="1">
      <alignment horizontal="center" vertical="center" wrapText="1"/>
    </xf>
    <xf numFmtId="0" fontId="48" fillId="0" borderId="1" xfId="6" applyFont="1" applyBorder="1" applyAlignment="1">
      <alignment horizontal="center" vertical="center" wrapText="1"/>
    </xf>
    <xf numFmtId="49" fontId="48" fillId="0" borderId="1" xfId="6" applyNumberFormat="1" applyFont="1" applyBorder="1" applyAlignment="1" applyProtection="1">
      <alignment horizontal="left" vertical="center"/>
      <protection locked="0"/>
    </xf>
    <xf numFmtId="0" fontId="47" fillId="0" borderId="1" xfId="6" applyFont="1" applyBorder="1" applyAlignment="1">
      <alignment horizontal="center" vertical="center"/>
    </xf>
    <xf numFmtId="49" fontId="47" fillId="0" borderId="1" xfId="6" applyNumberFormat="1" applyFont="1" applyBorder="1" applyAlignment="1">
      <alignment horizontal="left" vertical="center" wrapText="1"/>
    </xf>
    <xf numFmtId="3" fontId="47" fillId="0" borderId="1" xfId="6" applyNumberFormat="1" applyFont="1" applyBorder="1" applyAlignment="1" applyProtection="1">
      <alignment horizontal="right" vertical="center"/>
      <protection locked="0"/>
    </xf>
    <xf numFmtId="3" fontId="47" fillId="0" borderId="1" xfId="6" applyNumberFormat="1" applyFont="1" applyBorder="1" applyAlignment="1" applyProtection="1">
      <alignment horizontal="right" vertical="center" wrapText="1"/>
      <protection locked="0"/>
    </xf>
    <xf numFmtId="3" fontId="52" fillId="0" borderId="1" xfId="6" applyNumberFormat="1" applyFont="1" applyBorder="1" applyAlignment="1" applyProtection="1">
      <alignment horizontal="center" vertical="center"/>
      <protection locked="0"/>
    </xf>
    <xf numFmtId="9" fontId="52" fillId="0" borderId="1" xfId="12" applyFont="1" applyFill="1" applyBorder="1" applyAlignment="1" applyProtection="1">
      <alignment horizontal="center" vertical="center"/>
      <protection locked="0"/>
    </xf>
    <xf numFmtId="0" fontId="47" fillId="28" borderId="1" xfId="6" applyFont="1" applyFill="1" applyBorder="1" applyAlignment="1">
      <alignment horizontal="center" vertical="center"/>
    </xf>
    <xf numFmtId="3" fontId="47" fillId="28" borderId="1" xfId="6" applyNumberFormat="1" applyFont="1" applyFill="1" applyBorder="1" applyAlignment="1" applyProtection="1">
      <alignment horizontal="right" vertical="center"/>
      <protection locked="0"/>
    </xf>
    <xf numFmtId="3" fontId="47" fillId="28" borderId="1" xfId="6" applyNumberFormat="1" applyFont="1" applyFill="1" applyBorder="1" applyAlignment="1">
      <alignment horizontal="right" vertical="center" wrapText="1"/>
    </xf>
    <xf numFmtId="3" fontId="47" fillId="28" borderId="1" xfId="6" applyNumberFormat="1" applyFont="1" applyFill="1" applyBorder="1" applyAlignment="1">
      <alignment horizontal="right" vertical="center"/>
    </xf>
    <xf numFmtId="3" fontId="52" fillId="28" borderId="1" xfId="6" applyNumberFormat="1" applyFont="1" applyFill="1" applyBorder="1" applyAlignment="1">
      <alignment horizontal="center" vertical="center"/>
    </xf>
    <xf numFmtId="3" fontId="52" fillId="28" borderId="1" xfId="6" applyNumberFormat="1" applyFont="1" applyFill="1" applyBorder="1" applyAlignment="1">
      <alignment horizontal="center" vertical="center" wrapText="1"/>
    </xf>
    <xf numFmtId="9" fontId="52" fillId="28" borderId="1" xfId="12" applyFont="1" applyFill="1" applyBorder="1" applyAlignment="1" applyProtection="1">
      <alignment horizontal="center" vertical="center" wrapText="1"/>
    </xf>
    <xf numFmtId="0" fontId="47" fillId="28" borderId="1" xfId="6" applyFont="1" applyFill="1" applyBorder="1" applyAlignment="1">
      <alignment vertical="center" wrapText="1"/>
    </xf>
    <xf numFmtId="0" fontId="47" fillId="28" borderId="1" xfId="0" applyFont="1" applyFill="1" applyBorder="1" applyAlignment="1">
      <alignment horizontal="center" vertical="center"/>
    </xf>
    <xf numFmtId="0" fontId="47" fillId="28" borderId="1" xfId="0" applyFont="1" applyFill="1" applyBorder="1" applyAlignment="1">
      <alignment vertical="center" wrapText="1"/>
    </xf>
    <xf numFmtId="3" fontId="47" fillId="28" borderId="1" xfId="0" applyNumberFormat="1" applyFont="1" applyFill="1" applyBorder="1" applyAlignment="1">
      <alignment horizontal="right" vertical="center"/>
    </xf>
    <xf numFmtId="3" fontId="52" fillId="28" borderId="1" xfId="0" applyNumberFormat="1" applyFont="1" applyFill="1" applyBorder="1" applyAlignment="1">
      <alignment horizontal="center" vertical="center"/>
    </xf>
    <xf numFmtId="3" fontId="47" fillId="28" borderId="1" xfId="6" applyNumberFormat="1" applyFont="1" applyFill="1" applyBorder="1" applyAlignment="1">
      <alignment vertical="center" wrapText="1"/>
    </xf>
    <xf numFmtId="0" fontId="47" fillId="28" borderId="4" xfId="6" applyFont="1" applyFill="1" applyBorder="1" applyAlignment="1">
      <alignment horizontal="center" vertical="center"/>
    </xf>
    <xf numFmtId="0" fontId="47" fillId="28" borderId="4" xfId="6" applyFont="1" applyFill="1" applyBorder="1" applyAlignment="1">
      <alignment vertical="center" wrapText="1"/>
    </xf>
    <xf numFmtId="3" fontId="47" fillId="28" borderId="4" xfId="6" applyNumberFormat="1" applyFont="1" applyFill="1" applyBorder="1" applyAlignment="1">
      <alignment horizontal="right" vertical="center" wrapText="1"/>
    </xf>
    <xf numFmtId="3" fontId="52" fillId="28" borderId="4" xfId="6" applyNumberFormat="1" applyFont="1" applyFill="1" applyBorder="1" applyAlignment="1">
      <alignment horizontal="center" vertical="center" wrapText="1"/>
    </xf>
    <xf numFmtId="0" fontId="47" fillId="28" borderId="6" xfId="6" applyFont="1" applyFill="1" applyBorder="1" applyAlignment="1">
      <alignment horizontal="center" vertical="center"/>
    </xf>
    <xf numFmtId="16" fontId="47" fillId="28" borderId="6" xfId="6" applyNumberFormat="1" applyFont="1" applyFill="1" applyBorder="1" applyAlignment="1">
      <alignment vertical="center" wrapText="1"/>
    </xf>
    <xf numFmtId="3" fontId="47" fillId="28" borderId="6" xfId="6" applyNumberFormat="1" applyFont="1" applyFill="1" applyBorder="1" applyAlignment="1">
      <alignment horizontal="right" vertical="center" wrapText="1"/>
    </xf>
    <xf numFmtId="3" fontId="52" fillId="28" borderId="6" xfId="6" applyNumberFormat="1" applyFont="1" applyFill="1" applyBorder="1" applyAlignment="1">
      <alignment horizontal="center" vertical="center" wrapText="1"/>
    </xf>
    <xf numFmtId="0" fontId="47" fillId="28" borderId="1" xfId="6" applyFont="1" applyFill="1" applyBorder="1" applyAlignment="1">
      <alignment horizontal="center" vertical="center" wrapText="1"/>
    </xf>
    <xf numFmtId="49" fontId="47" fillId="28" borderId="1" xfId="6" applyNumberFormat="1" applyFont="1" applyFill="1" applyBorder="1" applyAlignment="1">
      <alignment horizontal="left" vertical="center" wrapText="1"/>
    </xf>
    <xf numFmtId="49" fontId="47" fillId="0" borderId="1" xfId="6" applyNumberFormat="1" applyFont="1" applyBorder="1" applyAlignment="1">
      <alignment horizontal="center" vertical="center" wrapText="1"/>
    </xf>
    <xf numFmtId="3" fontId="48" fillId="2" borderId="1" xfId="0" applyNumberFormat="1" applyFont="1" applyFill="1" applyBorder="1" applyAlignment="1" applyProtection="1">
      <alignment horizontal="right" vertical="center" wrapText="1"/>
      <protection locked="0"/>
    </xf>
    <xf numFmtId="3" fontId="49" fillId="2" borderId="1" xfId="0" applyNumberFormat="1" applyFont="1" applyFill="1" applyBorder="1" applyAlignment="1">
      <alignment horizontal="center" vertical="center" wrapText="1"/>
    </xf>
    <xf numFmtId="166" fontId="49" fillId="2" borderId="1" xfId="12" applyNumberFormat="1" applyFont="1" applyFill="1" applyBorder="1" applyAlignment="1" applyProtection="1">
      <alignment horizontal="center" vertical="center" wrapText="1"/>
    </xf>
    <xf numFmtId="3" fontId="48" fillId="0" borderId="1" xfId="0" applyNumberFormat="1" applyFont="1" applyBorder="1" applyAlignment="1">
      <alignment horizontal="left" vertical="center" wrapText="1"/>
    </xf>
    <xf numFmtId="3" fontId="48" fillId="0" borderId="1" xfId="0" applyNumberFormat="1" applyFont="1" applyBorder="1" applyAlignment="1" applyProtection="1">
      <alignment horizontal="right" vertical="center" wrapText="1"/>
      <protection locked="0"/>
    </xf>
    <xf numFmtId="49" fontId="47" fillId="2" borderId="1" xfId="0" applyNumberFormat="1" applyFont="1" applyFill="1" applyBorder="1" applyAlignment="1">
      <alignment horizontal="center" vertical="center"/>
    </xf>
    <xf numFmtId="3" fontId="47" fillId="2" borderId="1" xfId="0" applyNumberFormat="1" applyFont="1" applyFill="1" applyBorder="1" applyAlignment="1">
      <alignment horizontal="left" vertical="center" wrapText="1"/>
    </xf>
    <xf numFmtId="3" fontId="47" fillId="2" borderId="1" xfId="0" applyNumberFormat="1" applyFont="1" applyFill="1" applyBorder="1" applyAlignment="1" applyProtection="1">
      <alignment horizontal="right" vertical="center" wrapText="1"/>
      <protection locked="0"/>
    </xf>
    <xf numFmtId="3" fontId="52" fillId="2" borderId="1" xfId="0" applyNumberFormat="1" applyFont="1" applyFill="1" applyBorder="1" applyAlignment="1">
      <alignment horizontal="center" vertical="center" wrapText="1"/>
    </xf>
    <xf numFmtId="166" fontId="52" fillId="2" borderId="1" xfId="12" applyNumberFormat="1" applyFont="1" applyFill="1" applyBorder="1" applyAlignment="1" applyProtection="1">
      <alignment horizontal="center" vertical="center" wrapText="1"/>
    </xf>
    <xf numFmtId="3" fontId="52" fillId="0" borderId="1" xfId="0" applyNumberFormat="1" applyFont="1" applyBorder="1" applyAlignment="1" applyProtection="1">
      <alignment horizontal="left" vertical="center" wrapText="1"/>
      <protection locked="0"/>
    </xf>
    <xf numFmtId="3" fontId="47" fillId="2" borderId="1" xfId="1" applyNumberFormat="1" applyFont="1" applyFill="1" applyBorder="1" applyAlignment="1">
      <alignment horizontal="left" vertical="center" wrapText="1"/>
    </xf>
    <xf numFmtId="49" fontId="47" fillId="0" borderId="1" xfId="0" applyNumberFormat="1" applyFont="1" applyBorder="1" applyAlignment="1">
      <alignment horizontal="center" vertical="center"/>
    </xf>
    <xf numFmtId="3" fontId="47" fillId="0" borderId="1" xfId="1" applyNumberFormat="1" applyFont="1" applyBorder="1" applyAlignment="1">
      <alignment horizontal="left" vertical="center" wrapText="1"/>
    </xf>
    <xf numFmtId="3" fontId="47" fillId="0" borderId="1" xfId="0" applyNumberFormat="1" applyFont="1" applyBorder="1" applyAlignment="1" applyProtection="1">
      <alignment horizontal="right" vertical="center" wrapText="1"/>
      <protection locked="0"/>
    </xf>
    <xf numFmtId="3" fontId="52" fillId="0" borderId="1" xfId="0" applyNumberFormat="1" applyFont="1" applyBorder="1" applyAlignment="1">
      <alignment horizontal="center" vertical="center" wrapText="1"/>
    </xf>
    <xf numFmtId="166" fontId="52" fillId="0" borderId="1" xfId="12" applyNumberFormat="1" applyFont="1" applyFill="1" applyBorder="1" applyAlignment="1" applyProtection="1">
      <alignment horizontal="center" vertical="center" wrapText="1"/>
    </xf>
    <xf numFmtId="0" fontId="47" fillId="2" borderId="1" xfId="0" applyFont="1" applyFill="1" applyBorder="1" applyAlignment="1">
      <alignment horizontal="center" vertical="center"/>
    </xf>
    <xf numFmtId="0" fontId="47" fillId="2" borderId="1" xfId="0" applyFont="1" applyFill="1" applyBorder="1" applyAlignment="1">
      <alignment vertical="center" wrapText="1"/>
    </xf>
    <xf numFmtId="0" fontId="48" fillId="2" borderId="1" xfId="0" applyFont="1" applyFill="1" applyBorder="1" applyAlignment="1">
      <alignment vertical="center" wrapText="1"/>
    </xf>
    <xf numFmtId="0" fontId="48" fillId="2" borderId="1" xfId="0" applyFont="1" applyFill="1" applyBorder="1" applyAlignment="1">
      <alignment horizontal="left" vertical="center" wrapText="1"/>
    </xf>
    <xf numFmtId="3" fontId="49" fillId="0" borderId="1" xfId="0" applyNumberFormat="1" applyFont="1" applyBorder="1" applyAlignment="1">
      <alignment horizontal="center" vertical="center" wrapText="1"/>
    </xf>
    <xf numFmtId="166" fontId="49" fillId="0" borderId="1" xfId="12" applyNumberFormat="1" applyFont="1" applyFill="1" applyBorder="1" applyAlignment="1" applyProtection="1">
      <alignment horizontal="center" vertical="center" wrapText="1"/>
    </xf>
    <xf numFmtId="0" fontId="47" fillId="2" borderId="1" xfId="0" applyFont="1" applyFill="1" applyBorder="1" applyAlignment="1">
      <alignment horizontal="left" vertical="center" wrapText="1"/>
    </xf>
    <xf numFmtId="0" fontId="47" fillId="2" borderId="1" xfId="0" applyFont="1" applyFill="1" applyBorder="1" applyAlignment="1" applyProtection="1">
      <alignment horizontal="right" vertical="center" wrapText="1"/>
      <protection locked="0"/>
    </xf>
    <xf numFmtId="3" fontId="49" fillId="0" borderId="1" xfId="0" applyNumberFormat="1" applyFont="1" applyBorder="1" applyAlignment="1" applyProtection="1">
      <alignment horizontal="left" vertical="center" wrapText="1"/>
      <protection locked="0"/>
    </xf>
    <xf numFmtId="0" fontId="47" fillId="2" borderId="1" xfId="0" applyFont="1" applyFill="1" applyBorder="1" applyAlignment="1">
      <alignment horizontal="left" vertical="center"/>
    </xf>
    <xf numFmtId="0" fontId="48" fillId="0" borderId="1" xfId="0" applyFont="1" applyBorder="1" applyAlignment="1">
      <alignment horizontal="left" vertical="center" wrapText="1"/>
    </xf>
    <xf numFmtId="0" fontId="52" fillId="0" borderId="1" xfId="0" applyFont="1" applyBorder="1" applyAlignment="1">
      <alignment horizontal="center" vertical="center" wrapText="1"/>
    </xf>
    <xf numFmtId="3" fontId="52" fillId="0" borderId="1" xfId="0" applyNumberFormat="1" applyFont="1" applyBorder="1" applyAlignment="1">
      <alignment vertical="center" wrapText="1"/>
    </xf>
    <xf numFmtId="49" fontId="48" fillId="2" borderId="1" xfId="1" applyNumberFormat="1" applyFont="1" applyFill="1" applyBorder="1" applyAlignment="1">
      <alignment horizontal="center" vertical="center"/>
    </xf>
    <xf numFmtId="3" fontId="48" fillId="0" borderId="1" xfId="0" applyNumberFormat="1" applyFont="1" applyBorder="1" applyAlignment="1">
      <alignment vertical="center"/>
    </xf>
    <xf numFmtId="3" fontId="48" fillId="0" borderId="1" xfId="0" applyNumberFormat="1" applyFont="1" applyBorder="1" applyAlignment="1">
      <alignment vertical="center" wrapText="1"/>
    </xf>
    <xf numFmtId="3" fontId="47" fillId="28" borderId="1" xfId="0" applyNumberFormat="1" applyFont="1" applyFill="1" applyBorder="1" applyAlignment="1">
      <alignment horizontal="right" vertical="center" wrapText="1"/>
    </xf>
    <xf numFmtId="3" fontId="52" fillId="28" borderId="1" xfId="0" applyNumberFormat="1" applyFont="1" applyFill="1" applyBorder="1" applyAlignment="1">
      <alignment horizontal="center" vertical="center" wrapText="1"/>
    </xf>
    <xf numFmtId="166" fontId="52" fillId="28" borderId="1" xfId="12" applyNumberFormat="1" applyFont="1" applyFill="1" applyBorder="1" applyAlignment="1" applyProtection="1">
      <alignment horizontal="center" vertical="center" wrapText="1"/>
    </xf>
    <xf numFmtId="49" fontId="47" fillId="28" borderId="1" xfId="0" applyNumberFormat="1" applyFont="1" applyFill="1" applyBorder="1" applyAlignment="1">
      <alignment horizontal="center" vertical="center"/>
    </xf>
    <xf numFmtId="3" fontId="47" fillId="28" borderId="1" xfId="0" applyNumberFormat="1" applyFont="1" applyFill="1" applyBorder="1" applyAlignment="1">
      <alignment horizontal="left" vertical="center" wrapText="1"/>
    </xf>
    <xf numFmtId="0" fontId="47" fillId="28" borderId="1" xfId="0" applyFont="1" applyFill="1" applyBorder="1" applyAlignment="1">
      <alignment horizontal="right" vertical="center" wrapText="1"/>
    </xf>
    <xf numFmtId="0" fontId="47" fillId="28" borderId="1" xfId="0" applyFont="1" applyFill="1" applyBorder="1" applyAlignment="1">
      <alignment horizontal="left" vertical="center" wrapText="1"/>
    </xf>
    <xf numFmtId="0" fontId="48" fillId="28" borderId="1" xfId="0" applyFont="1" applyFill="1" applyBorder="1" applyAlignment="1">
      <alignment horizontal="center" vertical="center"/>
    </xf>
    <xf numFmtId="3" fontId="52" fillId="0" borderId="4" xfId="0" applyNumberFormat="1" applyFont="1" applyBorder="1" applyAlignment="1">
      <alignment horizontal="center" vertical="center" wrapText="1"/>
    </xf>
    <xf numFmtId="3" fontId="48" fillId="0" borderId="0" xfId="0" applyNumberFormat="1" applyFont="1" applyAlignment="1">
      <alignment horizontal="left" vertical="center" wrapText="1"/>
    </xf>
    <xf numFmtId="3" fontId="54" fillId="28" borderId="1" xfId="0" applyNumberFormat="1" applyFont="1" applyFill="1" applyBorder="1" applyAlignment="1">
      <alignment horizontal="right" vertical="center" wrapText="1"/>
    </xf>
    <xf numFmtId="3" fontId="52" fillId="28" borderId="26" xfId="0" applyNumberFormat="1" applyFont="1" applyFill="1" applyBorder="1" applyAlignment="1">
      <alignment horizontal="left" vertical="center" wrapText="1"/>
    </xf>
    <xf numFmtId="0" fontId="47" fillId="28" borderId="1" xfId="0" applyFont="1" applyFill="1" applyBorder="1" applyAlignment="1">
      <alignment horizontal="center" vertical="center" wrapText="1"/>
    </xf>
    <xf numFmtId="0" fontId="47" fillId="28" borderId="1" xfId="1" applyFont="1" applyFill="1" applyBorder="1" applyAlignment="1">
      <alignment horizontal="center" vertical="center"/>
    </xf>
    <xf numFmtId="49" fontId="47" fillId="28" borderId="1" xfId="1" applyNumberFormat="1" applyFont="1" applyFill="1" applyBorder="1" applyAlignment="1">
      <alignment horizontal="center" vertical="center"/>
    </xf>
    <xf numFmtId="3" fontId="48" fillId="0" borderId="0" xfId="0" applyNumberFormat="1" applyFont="1" applyAlignment="1">
      <alignment vertical="center"/>
    </xf>
    <xf numFmtId="3" fontId="48" fillId="0" borderId="0" xfId="0" applyNumberFormat="1" applyFont="1" applyAlignment="1">
      <alignment horizontal="center" vertical="center"/>
    </xf>
    <xf numFmtId="9" fontId="49" fillId="28" borderId="1" xfId="12" applyFont="1" applyFill="1" applyBorder="1" applyAlignment="1" applyProtection="1">
      <alignment horizontal="center" vertical="center"/>
      <protection locked="0"/>
    </xf>
    <xf numFmtId="0" fontId="49" fillId="0" borderId="0" xfId="0" applyFont="1" applyAlignment="1">
      <alignment vertical="center"/>
    </xf>
    <xf numFmtId="0" fontId="52" fillId="0" borderId="0" xfId="0" applyFont="1" applyAlignment="1">
      <alignment vertical="center"/>
    </xf>
    <xf numFmtId="3" fontId="47" fillId="0" borderId="0" xfId="6" applyNumberFormat="1" applyFont="1" applyAlignment="1" applyProtection="1">
      <alignment horizontal="right" vertical="center"/>
      <protection locked="0"/>
    </xf>
    <xf numFmtId="3" fontId="52" fillId="0" borderId="0" xfId="6" applyNumberFormat="1" applyFont="1" applyAlignment="1" applyProtection="1">
      <alignment horizontal="center" vertical="center"/>
      <protection locked="0"/>
    </xf>
    <xf numFmtId="9" fontId="52" fillId="0" borderId="0" xfId="12" applyFont="1" applyFill="1" applyBorder="1" applyAlignment="1" applyProtection="1">
      <alignment horizontal="center" vertical="center"/>
      <protection locked="0"/>
    </xf>
    <xf numFmtId="49" fontId="47" fillId="0" borderId="0" xfId="6"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3" fontId="48" fillId="0" borderId="1" xfId="1" applyNumberFormat="1" applyFont="1" applyBorder="1" applyAlignment="1">
      <alignment horizontal="center" vertical="center" wrapText="1"/>
    </xf>
    <xf numFmtId="0" fontId="48" fillId="0" borderId="1" xfId="6" applyFont="1" applyBorder="1" applyAlignment="1">
      <alignment horizontal="left" vertical="center" wrapText="1"/>
    </xf>
    <xf numFmtId="3" fontId="48" fillId="0" borderId="1" xfId="6" applyNumberFormat="1" applyFont="1" applyBorder="1" applyAlignment="1">
      <alignment horizontal="right" vertical="center" wrapText="1"/>
    </xf>
    <xf numFmtId="3" fontId="49" fillId="0" borderId="1" xfId="6" applyNumberFormat="1" applyFont="1" applyBorder="1" applyAlignment="1">
      <alignment horizontal="center" vertical="center" wrapText="1"/>
    </xf>
    <xf numFmtId="9" fontId="49" fillId="0" borderId="1" xfId="12" applyFont="1" applyFill="1" applyBorder="1" applyAlignment="1" applyProtection="1">
      <alignment horizontal="center" vertical="center" wrapText="1"/>
    </xf>
    <xf numFmtId="0" fontId="48" fillId="4" borderId="1" xfId="0" applyFont="1" applyFill="1" applyBorder="1" applyAlignment="1">
      <alignment horizontal="center" vertical="center" wrapText="1"/>
    </xf>
    <xf numFmtId="0" fontId="48" fillId="4" borderId="1" xfId="0" applyFont="1" applyFill="1" applyBorder="1" applyAlignment="1">
      <alignment horizontal="left" vertical="center" wrapText="1"/>
    </xf>
    <xf numFmtId="0" fontId="48" fillId="4" borderId="10" xfId="0" applyFont="1" applyFill="1" applyBorder="1" applyAlignment="1">
      <alignment horizontal="center" vertical="center" wrapText="1"/>
    </xf>
    <xf numFmtId="0" fontId="48" fillId="4" borderId="10" xfId="0" applyFont="1" applyFill="1" applyBorder="1" applyAlignment="1">
      <alignment horizontal="left" vertical="center" wrapText="1"/>
    </xf>
    <xf numFmtId="3" fontId="48" fillId="0" borderId="1" xfId="6" applyNumberFormat="1" applyFont="1" applyBorder="1" applyAlignment="1" applyProtection="1">
      <alignment horizontal="right" vertical="center" wrapText="1"/>
      <protection locked="0"/>
    </xf>
    <xf numFmtId="0" fontId="48" fillId="4" borderId="11" xfId="0" applyFont="1" applyFill="1" applyBorder="1" applyAlignment="1">
      <alignment horizontal="center" vertical="center" wrapText="1"/>
    </xf>
    <xf numFmtId="0" fontId="48" fillId="4" borderId="11" xfId="0" applyFont="1" applyFill="1" applyBorder="1" applyAlignment="1">
      <alignment horizontal="left" vertical="center" wrapText="1"/>
    </xf>
    <xf numFmtId="0" fontId="48" fillId="0" borderId="10" xfId="0" applyFont="1" applyBorder="1" applyAlignment="1">
      <alignment horizontal="center" vertical="center" wrapText="1"/>
    </xf>
    <xf numFmtId="0" fontId="48" fillId="0" borderId="10" xfId="0" applyFont="1" applyBorder="1" applyAlignment="1">
      <alignment horizontal="left" vertical="center" wrapText="1"/>
    </xf>
    <xf numFmtId="3" fontId="48" fillId="0" borderId="0" xfId="6" applyNumberFormat="1" applyFont="1" applyAlignment="1">
      <alignment horizontal="left" vertical="center" wrapText="1"/>
    </xf>
    <xf numFmtId="3" fontId="48" fillId="0" borderId="0" xfId="6" applyNumberFormat="1" applyFont="1" applyAlignment="1">
      <alignment horizontal="right" vertical="center" wrapText="1"/>
    </xf>
    <xf numFmtId="3" fontId="48" fillId="0" borderId="0" xfId="0" applyNumberFormat="1" applyFont="1" applyAlignment="1">
      <alignment horizontal="right" vertical="center"/>
    </xf>
    <xf numFmtId="3" fontId="48" fillId="0" borderId="0" xfId="6" applyNumberFormat="1" applyFont="1" applyAlignment="1">
      <alignment horizontal="right" vertical="center"/>
    </xf>
    <xf numFmtId="3" fontId="49" fillId="0" borderId="0" xfId="0" applyNumberFormat="1" applyFont="1" applyAlignment="1">
      <alignment horizontal="center" vertical="center"/>
    </xf>
    <xf numFmtId="49" fontId="47" fillId="28" borderId="5" xfId="6" applyNumberFormat="1" applyFont="1" applyFill="1" applyBorder="1" applyAlignment="1">
      <alignment horizontal="center" vertical="center"/>
    </xf>
    <xf numFmtId="0" fontId="47" fillId="28" borderId="4" xfId="6" applyFont="1" applyFill="1" applyBorder="1" applyAlignment="1">
      <alignment horizontal="center" vertical="center" wrapText="1"/>
    </xf>
    <xf numFmtId="3" fontId="47" fillId="28" borderId="1" xfId="6" applyNumberFormat="1" applyFont="1" applyFill="1" applyBorder="1" applyAlignment="1">
      <alignment horizontal="center" vertical="center"/>
    </xf>
    <xf numFmtId="49" fontId="48" fillId="0" borderId="5" xfId="6" applyNumberFormat="1" applyFont="1" applyBorder="1" applyAlignment="1">
      <alignment horizontal="center" vertical="center"/>
    </xf>
    <xf numFmtId="0" fontId="48" fillId="0" borderId="4" xfId="6" applyFont="1" applyBorder="1" applyAlignment="1">
      <alignment vertical="center" wrapText="1"/>
    </xf>
    <xf numFmtId="3" fontId="48" fillId="0" borderId="4" xfId="6" applyNumberFormat="1" applyFont="1" applyBorder="1" applyAlignment="1">
      <alignment horizontal="right" vertical="center" wrapText="1"/>
    </xf>
    <xf numFmtId="49" fontId="49" fillId="2" borderId="1" xfId="12" applyNumberFormat="1" applyFont="1" applyFill="1" applyBorder="1" applyAlignment="1" applyProtection="1">
      <alignment horizontal="left" vertical="center"/>
    </xf>
    <xf numFmtId="0" fontId="48" fillId="0" borderId="1" xfId="0" applyFont="1" applyBorder="1" applyAlignment="1">
      <alignment horizontal="left" vertical="center" wrapText="1" indent="2" readingOrder="1"/>
    </xf>
    <xf numFmtId="3" fontId="48" fillId="0" borderId="1" xfId="0" applyNumberFormat="1" applyFont="1" applyBorder="1" applyAlignment="1">
      <alignment horizontal="right" vertical="center" wrapText="1"/>
    </xf>
    <xf numFmtId="49" fontId="48" fillId="0" borderId="5" xfId="6" applyNumberFormat="1" applyFont="1" applyBorder="1" applyAlignment="1">
      <alignment horizontal="right" vertical="center"/>
    </xf>
    <xf numFmtId="0" fontId="49" fillId="0" borderId="1" xfId="0" applyFont="1" applyBorder="1" applyAlignment="1">
      <alignment horizontal="left" vertical="center" wrapText="1" indent="4" readingOrder="1"/>
    </xf>
    <xf numFmtId="0" fontId="48" fillId="0" borderId="6" xfId="0" applyFont="1" applyBorder="1" applyAlignment="1">
      <alignment horizontal="left" vertical="center" wrapText="1" readingOrder="1"/>
    </xf>
    <xf numFmtId="3" fontId="48" fillId="0" borderId="2" xfId="0" applyNumberFormat="1" applyFont="1" applyBorder="1" applyAlignment="1">
      <alignment horizontal="right" vertical="center" wrapText="1"/>
    </xf>
    <xf numFmtId="3" fontId="49" fillId="0" borderId="2" xfId="0" applyNumberFormat="1" applyFont="1" applyBorder="1" applyAlignment="1">
      <alignment horizontal="center" vertical="center" wrapText="1"/>
    </xf>
    <xf numFmtId="3" fontId="48" fillId="0" borderId="2" xfId="12" applyNumberFormat="1" applyFont="1" applyFill="1" applyBorder="1" applyAlignment="1" applyProtection="1">
      <alignment horizontal="right" vertical="center" wrapText="1"/>
    </xf>
    <xf numFmtId="3" fontId="49" fillId="0" borderId="2" xfId="12" applyNumberFormat="1" applyFont="1" applyFill="1" applyBorder="1" applyAlignment="1" applyProtection="1">
      <alignment horizontal="center" vertical="center" wrapText="1"/>
    </xf>
    <xf numFmtId="3" fontId="48" fillId="0" borderId="2" xfId="0" applyNumberFormat="1" applyFont="1" applyBorder="1" applyAlignment="1" applyProtection="1">
      <alignment horizontal="right" vertical="center" wrapText="1"/>
      <protection locked="0"/>
    </xf>
    <xf numFmtId="3" fontId="49" fillId="0" borderId="2" xfId="0" applyNumberFormat="1" applyFont="1" applyBorder="1" applyAlignment="1" applyProtection="1">
      <alignment horizontal="center" vertical="center" wrapText="1"/>
      <protection locked="0"/>
    </xf>
    <xf numFmtId="3" fontId="47" fillId="28" borderId="3" xfId="6" applyNumberFormat="1" applyFont="1" applyFill="1" applyBorder="1" applyAlignment="1">
      <alignment horizontal="center" vertical="center"/>
    </xf>
    <xf numFmtId="3" fontId="52" fillId="28" borderId="3" xfId="6" applyNumberFormat="1" applyFont="1" applyFill="1" applyBorder="1" applyAlignment="1">
      <alignment horizontal="center" vertical="center"/>
    </xf>
    <xf numFmtId="49" fontId="48" fillId="2" borderId="1" xfId="6" applyNumberFormat="1" applyFont="1" applyFill="1" applyBorder="1" applyAlignment="1">
      <alignment horizontal="center" vertical="center"/>
    </xf>
    <xf numFmtId="3" fontId="48" fillId="2" borderId="6" xfId="6" applyNumberFormat="1" applyFont="1" applyFill="1" applyBorder="1" applyAlignment="1">
      <alignment vertical="center" wrapText="1"/>
    </xf>
    <xf numFmtId="3" fontId="48" fillId="2" borderId="6" xfId="6" applyNumberFormat="1" applyFont="1" applyFill="1" applyBorder="1" applyAlignment="1" applyProtection="1">
      <alignment horizontal="right" vertical="center" wrapText="1"/>
      <protection locked="0"/>
    </xf>
    <xf numFmtId="3" fontId="48" fillId="2" borderId="1" xfId="0" applyNumberFormat="1" applyFont="1" applyFill="1" applyBorder="1" applyAlignment="1" applyProtection="1">
      <alignment horizontal="right" vertical="center"/>
      <protection locked="0"/>
    </xf>
    <xf numFmtId="3" fontId="49" fillId="2" borderId="1" xfId="0" applyNumberFormat="1" applyFont="1" applyFill="1" applyBorder="1" applyAlignment="1" applyProtection="1">
      <alignment horizontal="center" vertical="center"/>
      <protection locked="0"/>
    </xf>
    <xf numFmtId="3" fontId="48" fillId="2" borderId="1" xfId="6" applyNumberFormat="1" applyFont="1" applyFill="1" applyBorder="1" applyAlignment="1" applyProtection="1">
      <alignment horizontal="right" vertical="center" wrapText="1"/>
      <protection locked="0"/>
    </xf>
    <xf numFmtId="49" fontId="48" fillId="0" borderId="1" xfId="6" applyNumberFormat="1" applyFont="1" applyBorder="1" applyAlignment="1">
      <alignment horizontal="center" vertical="center"/>
    </xf>
    <xf numFmtId="49" fontId="49" fillId="0" borderId="1" xfId="12" applyNumberFormat="1" applyFont="1" applyFill="1" applyBorder="1" applyAlignment="1" applyProtection="1">
      <alignment horizontal="left" vertical="center"/>
    </xf>
    <xf numFmtId="3" fontId="48" fillId="2" borderId="6" xfId="6" applyNumberFormat="1" applyFont="1" applyFill="1" applyBorder="1" applyAlignment="1">
      <alignment horizontal="left" vertical="center" wrapText="1"/>
    </xf>
    <xf numFmtId="49" fontId="48" fillId="2" borderId="1" xfId="6" applyNumberFormat="1" applyFont="1" applyFill="1" applyBorder="1" applyAlignment="1">
      <alignment horizontal="right" vertical="center"/>
    </xf>
    <xf numFmtId="3" fontId="49" fillId="2" borderId="6" xfId="6" applyNumberFormat="1" applyFont="1" applyFill="1" applyBorder="1" applyAlignment="1">
      <alignment horizontal="left" vertical="center" wrapText="1" indent="2"/>
    </xf>
    <xf numFmtId="3" fontId="48" fillId="0" borderId="6" xfId="0" applyNumberFormat="1" applyFont="1" applyBorder="1" applyAlignment="1" applyProtection="1">
      <alignment horizontal="right" vertical="center" wrapText="1"/>
      <protection locked="0"/>
    </xf>
    <xf numFmtId="49" fontId="47" fillId="28" borderId="1" xfId="6" applyNumberFormat="1" applyFont="1" applyFill="1" applyBorder="1" applyAlignment="1">
      <alignment horizontal="center" vertical="center"/>
    </xf>
    <xf numFmtId="3" fontId="49" fillId="2" borderId="1" xfId="6" applyNumberFormat="1" applyFont="1" applyFill="1" applyBorder="1" applyAlignment="1">
      <alignment horizontal="left" vertical="center" wrapText="1" indent="2"/>
    </xf>
    <xf numFmtId="49" fontId="48" fillId="2" borderId="5" xfId="6" applyNumberFormat="1" applyFont="1" applyFill="1" applyBorder="1" applyAlignment="1">
      <alignment horizontal="center" vertical="center"/>
    </xf>
    <xf numFmtId="3" fontId="49" fillId="0" borderId="4" xfId="6" applyNumberFormat="1" applyFont="1" applyBorder="1" applyAlignment="1">
      <alignment horizontal="left" vertical="center" wrapText="1" indent="2"/>
    </xf>
    <xf numFmtId="3" fontId="48" fillId="0" borderId="9" xfId="6" applyNumberFormat="1" applyFont="1" applyBorder="1" applyAlignment="1" applyProtection="1">
      <alignment horizontal="right" vertical="center" wrapText="1"/>
      <protection locked="0"/>
    </xf>
    <xf numFmtId="3" fontId="48" fillId="2" borderId="3" xfId="0" applyNumberFormat="1" applyFont="1" applyFill="1" applyBorder="1" applyAlignment="1" applyProtection="1">
      <alignment horizontal="right" vertical="center"/>
      <protection locked="0"/>
    </xf>
    <xf numFmtId="9" fontId="49" fillId="2" borderId="3" xfId="12" applyFont="1" applyFill="1" applyBorder="1" applyAlignment="1" applyProtection="1">
      <alignment horizontal="center" vertical="center"/>
    </xf>
    <xf numFmtId="0" fontId="48" fillId="0" borderId="1" xfId="0" applyFont="1" applyBorder="1" applyAlignment="1">
      <alignment horizontal="left" vertical="center" wrapText="1" readingOrder="1"/>
    </xf>
    <xf numFmtId="49" fontId="52" fillId="28" borderId="1" xfId="12" applyNumberFormat="1" applyFont="1" applyFill="1" applyBorder="1" applyAlignment="1" applyProtection="1">
      <alignment horizontal="left" vertical="center" wrapText="1"/>
    </xf>
    <xf numFmtId="0" fontId="48" fillId="2" borderId="1" xfId="6" applyFont="1" applyFill="1" applyBorder="1" applyAlignment="1">
      <alignment vertical="center"/>
    </xf>
    <xf numFmtId="3" fontId="54" fillId="28" borderId="1" xfId="6" applyNumberFormat="1" applyFont="1" applyFill="1" applyBorder="1" applyAlignment="1">
      <alignment vertical="center" wrapText="1"/>
    </xf>
    <xf numFmtId="0" fontId="47" fillId="28" borderId="3" xfId="6" applyFont="1" applyFill="1" applyBorder="1" applyAlignment="1">
      <alignment horizontal="center" vertical="center" wrapText="1"/>
    </xf>
    <xf numFmtId="3" fontId="48" fillId="2" borderId="3" xfId="6" applyNumberFormat="1" applyFont="1" applyFill="1" applyBorder="1" applyAlignment="1" applyProtection="1">
      <alignment horizontal="right" vertical="center" wrapText="1"/>
      <protection locked="0"/>
    </xf>
    <xf numFmtId="3" fontId="48" fillId="2" borderId="3" xfId="6" applyNumberFormat="1" applyFont="1" applyFill="1" applyBorder="1" applyAlignment="1" applyProtection="1">
      <alignment horizontal="right" vertical="center"/>
      <protection locked="0"/>
    </xf>
    <xf numFmtId="3" fontId="49" fillId="0" borderId="1" xfId="6" applyNumberFormat="1" applyFont="1" applyBorder="1" applyAlignment="1">
      <alignment horizontal="left" vertical="center" wrapText="1" indent="2"/>
    </xf>
    <xf numFmtId="49" fontId="48" fillId="0" borderId="0" xfId="6" applyNumberFormat="1" applyFont="1" applyAlignment="1">
      <alignment horizontal="center" vertical="center"/>
    </xf>
    <xf numFmtId="0" fontId="48" fillId="0" borderId="0" xfId="0" applyFont="1" applyAlignment="1">
      <alignment vertical="center" wrapText="1"/>
    </xf>
    <xf numFmtId="0" fontId="48" fillId="0" borderId="0" xfId="6" applyFont="1"/>
    <xf numFmtId="0" fontId="57" fillId="0" borderId="0" xfId="0" applyFont="1" applyAlignment="1">
      <alignment horizontal="center" vertical="center" wrapText="1"/>
    </xf>
    <xf numFmtId="0" fontId="57" fillId="0" borderId="0" xfId="0" applyFont="1" applyAlignment="1">
      <alignment horizontal="left" vertical="center" wrapText="1"/>
    </xf>
    <xf numFmtId="3" fontId="48" fillId="0" borderId="0" xfId="6" applyNumberFormat="1" applyFont="1"/>
    <xf numFmtId="0" fontId="48" fillId="0" borderId="0" xfId="6" applyFont="1" applyAlignment="1">
      <alignment horizontal="left" vertical="center" wrapText="1"/>
    </xf>
    <xf numFmtId="0" fontId="48" fillId="0" borderId="0" xfId="6" applyFont="1" applyAlignment="1">
      <alignment horizontal="left" vertical="center"/>
    </xf>
    <xf numFmtId="0" fontId="47" fillId="2" borderId="1" xfId="0" applyFont="1" applyFill="1" applyBorder="1" applyAlignment="1">
      <alignment horizontal="right" vertical="center" wrapText="1"/>
    </xf>
    <xf numFmtId="0" fontId="47" fillId="29" borderId="1" xfId="0" applyFont="1" applyFill="1" applyBorder="1" applyAlignment="1">
      <alignment horizontal="center" vertical="center"/>
    </xf>
    <xf numFmtId="3" fontId="47" fillId="29" borderId="1" xfId="0" applyNumberFormat="1" applyFont="1" applyFill="1" applyBorder="1" applyAlignment="1">
      <alignment horizontal="right" vertical="center" wrapText="1"/>
    </xf>
    <xf numFmtId="3" fontId="52" fillId="29" borderId="1" xfId="0" applyNumberFormat="1" applyFont="1" applyFill="1" applyBorder="1" applyAlignment="1">
      <alignment horizontal="center" vertical="center" wrapText="1"/>
    </xf>
    <xf numFmtId="166" fontId="52" fillId="29" borderId="1" xfId="12" applyNumberFormat="1" applyFont="1" applyFill="1" applyBorder="1" applyAlignment="1" applyProtection="1">
      <alignment horizontal="center" vertical="center" wrapText="1"/>
    </xf>
    <xf numFmtId="3" fontId="52" fillId="29" borderId="26" xfId="0" applyNumberFormat="1" applyFont="1" applyFill="1" applyBorder="1" applyAlignment="1">
      <alignment horizontal="left" vertical="center" wrapText="1"/>
    </xf>
    <xf numFmtId="0" fontId="48" fillId="2" borderId="1" xfId="0" applyFont="1" applyFill="1" applyBorder="1" applyAlignment="1">
      <alignment horizontal="right" vertical="center"/>
    </xf>
    <xf numFmtId="3" fontId="41" fillId="2" borderId="0" xfId="0" applyNumberFormat="1" applyFont="1" applyFill="1" applyAlignment="1">
      <alignment vertical="center"/>
    </xf>
    <xf numFmtId="49" fontId="48" fillId="2" borderId="1" xfId="0" applyNumberFormat="1" applyFont="1" applyFill="1" applyBorder="1" applyAlignment="1">
      <alignment horizontal="right" vertical="center"/>
    </xf>
    <xf numFmtId="3" fontId="40" fillId="2" borderId="0" xfId="0" applyNumberFormat="1" applyFont="1" applyFill="1" applyAlignment="1">
      <alignment vertical="center"/>
    </xf>
    <xf numFmtId="3" fontId="47" fillId="2" borderId="1" xfId="0" applyNumberFormat="1" applyFont="1" applyFill="1" applyBorder="1" applyAlignment="1">
      <alignment horizontal="right" vertical="center" wrapText="1"/>
    </xf>
    <xf numFmtId="3" fontId="47" fillId="29" borderId="1" xfId="0" applyNumberFormat="1" applyFont="1" applyFill="1" applyBorder="1" applyAlignment="1">
      <alignment horizontal="left" vertical="center" wrapText="1"/>
    </xf>
    <xf numFmtId="3" fontId="52" fillId="2" borderId="1" xfId="0" applyNumberFormat="1" applyFont="1" applyFill="1" applyBorder="1" applyAlignment="1" applyProtection="1">
      <alignment horizontal="left" vertical="center" wrapText="1"/>
      <protection locked="0"/>
    </xf>
    <xf numFmtId="3" fontId="43" fillId="2" borderId="0" xfId="0" applyNumberFormat="1" applyFont="1" applyFill="1" applyAlignment="1">
      <alignment vertical="center"/>
    </xf>
    <xf numFmtId="3" fontId="47" fillId="2" borderId="1" xfId="0" applyNumberFormat="1" applyFont="1" applyFill="1" applyBorder="1" applyAlignment="1">
      <alignment horizontal="center" vertical="center" wrapText="1"/>
    </xf>
    <xf numFmtId="166" fontId="47" fillId="2" borderId="1" xfId="12" applyNumberFormat="1" applyFont="1" applyFill="1" applyBorder="1" applyAlignment="1" applyProtection="1">
      <alignment horizontal="center" vertical="center" wrapText="1"/>
    </xf>
    <xf numFmtId="3" fontId="47" fillId="2" borderId="1" xfId="0" applyNumberFormat="1" applyFont="1" applyFill="1" applyBorder="1" applyAlignment="1" applyProtection="1">
      <alignment horizontal="left" vertical="center" wrapText="1"/>
      <protection locked="0"/>
    </xf>
    <xf numFmtId="0" fontId="48" fillId="0" borderId="1" xfId="0" applyFont="1" applyBorder="1" applyAlignment="1">
      <alignment horizontal="right" vertical="center"/>
    </xf>
    <xf numFmtId="0" fontId="47" fillId="2" borderId="1" xfId="0" applyFont="1" applyFill="1" applyBorder="1" applyAlignment="1">
      <alignment horizontal="center" vertical="center" wrapText="1"/>
    </xf>
    <xf numFmtId="3" fontId="52" fillId="2" borderId="4" xfId="0" applyNumberFormat="1" applyFont="1" applyFill="1" applyBorder="1" applyAlignment="1">
      <alignment horizontal="center" vertical="center" wrapText="1"/>
    </xf>
    <xf numFmtId="0" fontId="47" fillId="2" borderId="1" xfId="1" applyFont="1" applyFill="1" applyBorder="1" applyAlignment="1">
      <alignment horizontal="center" vertical="center"/>
    </xf>
    <xf numFmtId="0" fontId="48" fillId="2" borderId="1" xfId="1" applyFont="1" applyFill="1" applyBorder="1" applyAlignment="1">
      <alignment horizontal="right" vertical="center"/>
    </xf>
    <xf numFmtId="49" fontId="47" fillId="29" borderId="1" xfId="0" applyNumberFormat="1" applyFont="1" applyFill="1" applyBorder="1" applyAlignment="1">
      <alignment horizontal="center" vertical="center"/>
    </xf>
    <xf numFmtId="0" fontId="47" fillId="30" borderId="1" xfId="0" applyFont="1" applyFill="1" applyBorder="1" applyAlignment="1">
      <alignment horizontal="center" vertical="center"/>
    </xf>
    <xf numFmtId="3" fontId="47" fillId="30" borderId="1" xfId="0" applyNumberFormat="1" applyFont="1" applyFill="1" applyBorder="1" applyAlignment="1">
      <alignment horizontal="center" vertical="center" wrapText="1"/>
    </xf>
    <xf numFmtId="3" fontId="47" fillId="30" borderId="1" xfId="0" applyNumberFormat="1" applyFont="1" applyFill="1" applyBorder="1" applyAlignment="1">
      <alignment horizontal="right" vertical="center" wrapText="1"/>
    </xf>
    <xf numFmtId="3" fontId="52" fillId="30" borderId="1" xfId="0" applyNumberFormat="1" applyFont="1" applyFill="1" applyBorder="1" applyAlignment="1">
      <alignment horizontal="center" vertical="center" wrapText="1"/>
    </xf>
    <xf numFmtId="166" fontId="52" fillId="30" borderId="1" xfId="12" applyNumberFormat="1" applyFont="1" applyFill="1" applyBorder="1" applyAlignment="1" applyProtection="1">
      <alignment horizontal="center" vertical="center" wrapText="1"/>
    </xf>
    <xf numFmtId="3" fontId="52" fillId="30" borderId="26" xfId="0" applyNumberFormat="1" applyFont="1" applyFill="1" applyBorder="1" applyAlignment="1">
      <alignment horizontal="left" vertical="center" wrapText="1"/>
    </xf>
    <xf numFmtId="0" fontId="47" fillId="31" borderId="1" xfId="0" applyFont="1" applyFill="1" applyBorder="1" applyAlignment="1">
      <alignment horizontal="center" vertical="center"/>
    </xf>
    <xf numFmtId="3" fontId="47" fillId="31" borderId="1" xfId="0" applyNumberFormat="1" applyFont="1" applyFill="1" applyBorder="1" applyAlignment="1">
      <alignment horizontal="center" vertical="center" wrapText="1"/>
    </xf>
    <xf numFmtId="3" fontId="47" fillId="31" borderId="1" xfId="0" applyNumberFormat="1" applyFont="1" applyFill="1" applyBorder="1" applyAlignment="1">
      <alignment horizontal="right" vertical="center" wrapText="1"/>
    </xf>
    <xf numFmtId="3" fontId="52" fillId="31" borderId="1" xfId="0" applyNumberFormat="1" applyFont="1" applyFill="1" applyBorder="1" applyAlignment="1">
      <alignment horizontal="center" vertical="center" wrapText="1"/>
    </xf>
    <xf numFmtId="166" fontId="52" fillId="31" borderId="1" xfId="12" applyNumberFormat="1" applyFont="1" applyFill="1" applyBorder="1" applyAlignment="1" applyProtection="1">
      <alignment horizontal="center" vertical="center" wrapText="1"/>
    </xf>
    <xf numFmtId="3" fontId="52" fillId="31" borderId="26" xfId="0" applyNumberFormat="1" applyFont="1" applyFill="1" applyBorder="1" applyAlignment="1">
      <alignment horizontal="left" vertical="center" wrapText="1"/>
    </xf>
    <xf numFmtId="3" fontId="47" fillId="31" borderId="1" xfId="6" applyNumberFormat="1" applyFont="1" applyFill="1" applyBorder="1" applyAlignment="1">
      <alignment horizontal="center" vertical="center" wrapText="1"/>
    </xf>
    <xf numFmtId="49" fontId="47" fillId="31" borderId="5" xfId="6" applyNumberFormat="1" applyFont="1" applyFill="1" applyBorder="1" applyAlignment="1">
      <alignment horizontal="center" vertical="center"/>
    </xf>
    <xf numFmtId="0" fontId="47" fillId="31" borderId="7" xfId="6" applyFont="1" applyFill="1" applyBorder="1" applyAlignment="1">
      <alignment vertical="center" wrapText="1"/>
    </xf>
    <xf numFmtId="0" fontId="47" fillId="31" borderId="8" xfId="6" applyFont="1" applyFill="1" applyBorder="1" applyAlignment="1">
      <alignment horizontal="center" vertical="center" wrapText="1"/>
    </xf>
    <xf numFmtId="3" fontId="47" fillId="31" borderId="3" xfId="6" applyNumberFormat="1" applyFont="1" applyFill="1" applyBorder="1" applyAlignment="1">
      <alignment horizontal="center" vertical="center"/>
    </xf>
    <xf numFmtId="3" fontId="47" fillId="31" borderId="1" xfId="6" applyNumberFormat="1" applyFont="1" applyFill="1" applyBorder="1" applyAlignment="1">
      <alignment horizontal="center" vertical="center"/>
    </xf>
    <xf numFmtId="3" fontId="52" fillId="31" borderId="3" xfId="6" applyNumberFormat="1" applyFont="1" applyFill="1" applyBorder="1" applyAlignment="1">
      <alignment horizontal="center" vertical="center"/>
    </xf>
    <xf numFmtId="0" fontId="47" fillId="31" borderId="6" xfId="0" applyFont="1" applyFill="1" applyBorder="1" applyAlignment="1">
      <alignment horizontal="left" vertical="center" wrapText="1" readingOrder="1"/>
    </xf>
    <xf numFmtId="0" fontId="47" fillId="31" borderId="2" xfId="0" applyFont="1" applyFill="1" applyBorder="1" applyAlignment="1">
      <alignment horizontal="center" vertical="center" wrapText="1"/>
    </xf>
    <xf numFmtId="49" fontId="47" fillId="31" borderId="1" xfId="6" applyNumberFormat="1" applyFont="1" applyFill="1" applyBorder="1" applyAlignment="1">
      <alignment horizontal="center" vertical="center"/>
    </xf>
    <xf numFmtId="3" fontId="47" fillId="31" borderId="1" xfId="6" applyNumberFormat="1" applyFont="1" applyFill="1" applyBorder="1" applyAlignment="1">
      <alignment vertical="center" wrapText="1"/>
    </xf>
    <xf numFmtId="3" fontId="47" fillId="31" borderId="3" xfId="6" applyNumberFormat="1" applyFont="1" applyFill="1" applyBorder="1" applyAlignment="1">
      <alignment horizontal="center" vertical="center" wrapText="1"/>
    </xf>
    <xf numFmtId="0" fontId="47" fillId="31" borderId="4" xfId="6" applyFont="1" applyFill="1" applyBorder="1" applyAlignment="1">
      <alignment vertical="center" wrapText="1"/>
    </xf>
    <xf numFmtId="0" fontId="47" fillId="31" borderId="9" xfId="6" applyFont="1" applyFill="1" applyBorder="1" applyAlignment="1">
      <alignment horizontal="center" vertical="center" wrapText="1"/>
    </xf>
    <xf numFmtId="0" fontId="47" fillId="31" borderId="1" xfId="0" applyFont="1" applyFill="1" applyBorder="1" applyAlignment="1">
      <alignment horizontal="left" vertical="center" wrapText="1" readingOrder="1"/>
    </xf>
    <xf numFmtId="0" fontId="47" fillId="31" borderId="3" xfId="0" applyFont="1" applyFill="1" applyBorder="1" applyAlignment="1">
      <alignment horizontal="center" vertical="center" wrapText="1"/>
    </xf>
    <xf numFmtId="3" fontId="47" fillId="31" borderId="1" xfId="6" applyNumberFormat="1" applyFont="1" applyFill="1" applyBorder="1" applyAlignment="1">
      <alignment horizontal="left" vertical="center" wrapText="1"/>
    </xf>
    <xf numFmtId="3" fontId="47" fillId="31" borderId="1" xfId="0" applyNumberFormat="1" applyFont="1" applyFill="1" applyBorder="1" applyAlignment="1">
      <alignment horizontal="center" vertical="center"/>
    </xf>
    <xf numFmtId="3" fontId="52" fillId="31" borderId="1" xfId="0" applyNumberFormat="1" applyFont="1" applyFill="1" applyBorder="1" applyAlignment="1">
      <alignment horizontal="center" vertical="center"/>
    </xf>
    <xf numFmtId="0" fontId="47" fillId="31" borderId="5" xfId="6" applyFont="1" applyFill="1" applyBorder="1" applyAlignment="1">
      <alignment horizontal="center" vertical="center"/>
    </xf>
    <xf numFmtId="0" fontId="49" fillId="31" borderId="0" xfId="0" applyFont="1" applyFill="1" applyAlignment="1">
      <alignment horizontal="center" vertical="center"/>
    </xf>
    <xf numFmtId="49" fontId="48" fillId="31" borderId="0" xfId="0" applyNumberFormat="1" applyFont="1" applyFill="1" applyAlignment="1">
      <alignment horizontal="left" vertical="center"/>
    </xf>
    <xf numFmtId="0" fontId="48" fillId="31" borderId="0" xfId="0" applyFont="1" applyFill="1" applyAlignment="1">
      <alignment vertical="center"/>
    </xf>
    <xf numFmtId="9" fontId="49" fillId="31" borderId="0" xfId="12" applyFont="1" applyFill="1" applyAlignment="1" applyProtection="1">
      <alignment horizontal="center" vertical="center"/>
    </xf>
    <xf numFmtId="49" fontId="47" fillId="28" borderId="26" xfId="6" applyNumberFormat="1" applyFont="1" applyFill="1" applyBorder="1" applyAlignment="1">
      <alignment horizontal="left" vertical="center" wrapText="1"/>
    </xf>
    <xf numFmtId="49" fontId="47" fillId="28" borderId="26" xfId="0" applyNumberFormat="1" applyFont="1" applyFill="1" applyBorder="1" applyAlignment="1">
      <alignment horizontal="left" vertical="center"/>
    </xf>
    <xf numFmtId="49" fontId="47" fillId="28" borderId="26" xfId="6" applyNumberFormat="1" applyFont="1" applyFill="1" applyBorder="1" applyAlignment="1">
      <alignment horizontal="left" vertical="center"/>
    </xf>
    <xf numFmtId="3" fontId="52" fillId="28" borderId="26" xfId="0" applyNumberFormat="1" applyFont="1" applyFill="1" applyBorder="1" applyAlignment="1">
      <alignment vertical="center" wrapText="1"/>
    </xf>
    <xf numFmtId="49" fontId="47" fillId="28" borderId="26" xfId="1" applyNumberFormat="1" applyFont="1" applyFill="1" applyBorder="1" applyAlignment="1">
      <alignment horizontal="left" vertical="center"/>
    </xf>
    <xf numFmtId="0" fontId="47" fillId="31" borderId="1" xfId="1" applyFont="1" applyFill="1" applyBorder="1" applyAlignment="1">
      <alignment horizontal="left" vertical="center"/>
    </xf>
    <xf numFmtId="3" fontId="47" fillId="31" borderId="1" xfId="1" applyNumberFormat="1" applyFont="1" applyFill="1" applyBorder="1" applyAlignment="1">
      <alignment horizontal="right" vertical="center"/>
    </xf>
    <xf numFmtId="3" fontId="52" fillId="31" borderId="1" xfId="1" applyNumberFormat="1" applyFont="1" applyFill="1" applyBorder="1" applyAlignment="1">
      <alignment horizontal="center" vertical="center"/>
    </xf>
    <xf numFmtId="9" fontId="52" fillId="31" borderId="1" xfId="12" applyFont="1" applyFill="1" applyBorder="1" applyAlignment="1" applyProtection="1">
      <alignment horizontal="center" vertical="center"/>
    </xf>
    <xf numFmtId="49" fontId="47" fillId="31" borderId="26" xfId="1" applyNumberFormat="1" applyFont="1" applyFill="1" applyBorder="1" applyAlignment="1">
      <alignment horizontal="left" vertical="center"/>
    </xf>
    <xf numFmtId="3" fontId="47" fillId="28" borderId="1" xfId="0" applyNumberFormat="1" applyFont="1" applyFill="1" applyBorder="1" applyAlignment="1" applyProtection="1">
      <alignment horizontal="right" vertical="center" wrapText="1"/>
      <protection locked="0"/>
    </xf>
    <xf numFmtId="3" fontId="52" fillId="28" borderId="1" xfId="0" applyNumberFormat="1" applyFont="1" applyFill="1" applyBorder="1" applyAlignment="1">
      <alignment vertical="center" wrapText="1"/>
    </xf>
    <xf numFmtId="3" fontId="49" fillId="28" borderId="1" xfId="1" applyNumberFormat="1" applyFont="1" applyFill="1" applyBorder="1" applyAlignment="1" applyProtection="1">
      <alignment horizontal="center" vertical="center"/>
      <protection locked="0"/>
    </xf>
    <xf numFmtId="49" fontId="47" fillId="28" borderId="6" xfId="1" applyNumberFormat="1" applyFont="1" applyFill="1" applyBorder="1" applyAlignment="1">
      <alignment horizontal="center" vertical="center"/>
    </xf>
    <xf numFmtId="3" fontId="48" fillId="2" borderId="1" xfId="6" applyNumberFormat="1" applyFont="1" applyFill="1" applyBorder="1" applyAlignment="1">
      <alignment horizontal="left" vertical="top" wrapText="1"/>
    </xf>
    <xf numFmtId="3" fontId="47" fillId="30" borderId="1" xfId="6" applyNumberFormat="1" applyFont="1" applyFill="1" applyBorder="1" applyAlignment="1">
      <alignment horizontal="left" vertical="center" wrapText="1"/>
    </xf>
    <xf numFmtId="3" fontId="47" fillId="30" borderId="1" xfId="1" applyNumberFormat="1" applyFont="1" applyFill="1" applyBorder="1" applyAlignment="1">
      <alignment horizontal="right" vertical="center"/>
    </xf>
    <xf numFmtId="3" fontId="52" fillId="30" borderId="1" xfId="1" applyNumberFormat="1" applyFont="1" applyFill="1" applyBorder="1" applyAlignment="1">
      <alignment horizontal="center" vertical="center"/>
    </xf>
    <xf numFmtId="9" fontId="52" fillId="30" borderId="1" xfId="12" applyFont="1" applyFill="1" applyBorder="1" applyAlignment="1" applyProtection="1">
      <alignment horizontal="center" vertical="center"/>
    </xf>
    <xf numFmtId="49" fontId="47" fillId="30" borderId="26" xfId="1" applyNumberFormat="1" applyFont="1" applyFill="1" applyBorder="1" applyAlignment="1">
      <alignment horizontal="left" vertical="center"/>
    </xf>
    <xf numFmtId="0" fontId="47" fillId="0" borderId="0" xfId="0" applyFont="1" applyAlignment="1">
      <alignment vertical="center"/>
    </xf>
    <xf numFmtId="0" fontId="47" fillId="0" borderId="0" xfId="0" applyFont="1" applyAlignment="1" applyProtection="1">
      <alignment vertical="center"/>
      <protection locked="0"/>
    </xf>
    <xf numFmtId="0" fontId="47" fillId="30" borderId="1" xfId="1" applyFont="1" applyFill="1" applyBorder="1" applyAlignment="1">
      <alignment horizontal="center" vertical="center"/>
    </xf>
    <xf numFmtId="0" fontId="47" fillId="31" borderId="1" xfId="1" applyFont="1" applyFill="1" applyBorder="1" applyAlignment="1">
      <alignment horizontal="center" vertical="center"/>
    </xf>
    <xf numFmtId="49" fontId="47" fillId="31" borderId="1" xfId="1" applyNumberFormat="1" applyFont="1" applyFill="1" applyBorder="1" applyAlignment="1">
      <alignment vertical="center"/>
    </xf>
    <xf numFmtId="49" fontId="47" fillId="28" borderId="4" xfId="1" applyNumberFormat="1" applyFont="1" applyFill="1" applyBorder="1" applyAlignment="1">
      <alignment vertical="center"/>
    </xf>
    <xf numFmtId="0" fontId="47" fillId="28" borderId="1" xfId="0" applyFont="1" applyFill="1" applyBorder="1" applyAlignment="1" applyProtection="1">
      <alignment vertical="center"/>
      <protection locked="0"/>
    </xf>
    <xf numFmtId="3" fontId="47" fillId="31" borderId="1" xfId="1" applyNumberFormat="1" applyFont="1" applyFill="1" applyBorder="1" applyAlignment="1" applyProtection="1">
      <alignment horizontal="right" vertical="center"/>
      <protection locked="0"/>
    </xf>
    <xf numFmtId="3" fontId="52" fillId="31" borderId="1" xfId="1" applyNumberFormat="1" applyFont="1" applyFill="1" applyBorder="1" applyAlignment="1" applyProtection="1">
      <alignment horizontal="center" vertical="center"/>
      <protection locked="0"/>
    </xf>
    <xf numFmtId="9" fontId="52" fillId="31" borderId="1" xfId="12" applyFont="1" applyFill="1" applyBorder="1" applyAlignment="1" applyProtection="1">
      <alignment horizontal="center" vertical="center"/>
      <protection locked="0"/>
    </xf>
    <xf numFmtId="49" fontId="47" fillId="31" borderId="4" xfId="1" applyNumberFormat="1" applyFont="1" applyFill="1" applyBorder="1" applyAlignment="1" applyProtection="1">
      <alignment horizontal="center" vertical="center"/>
      <protection locked="0"/>
    </xf>
    <xf numFmtId="9" fontId="52" fillId="28" borderId="5" xfId="12" applyFont="1" applyFill="1" applyBorder="1" applyAlignment="1" applyProtection="1">
      <alignment horizontal="center" vertical="center"/>
    </xf>
    <xf numFmtId="3" fontId="47" fillId="28" borderId="3" xfId="1" applyNumberFormat="1" applyFont="1" applyFill="1" applyBorder="1" applyAlignment="1">
      <alignment horizontal="right" vertical="center"/>
    </xf>
    <xf numFmtId="3" fontId="47" fillId="28" borderId="3" xfId="1" applyNumberFormat="1" applyFont="1" applyFill="1" applyBorder="1" applyAlignment="1" applyProtection="1">
      <alignment horizontal="right" vertical="center"/>
      <protection locked="0"/>
    </xf>
    <xf numFmtId="49" fontId="48" fillId="28" borderId="1" xfId="1" applyNumberFormat="1" applyFont="1" applyFill="1" applyBorder="1" applyAlignment="1">
      <alignment horizontal="center" vertical="center"/>
    </xf>
    <xf numFmtId="49" fontId="47" fillId="0" borderId="1" xfId="1" applyNumberFormat="1" applyFont="1" applyBorder="1" applyAlignment="1">
      <alignment horizontal="center" vertical="center"/>
    </xf>
    <xf numFmtId="1" fontId="47" fillId="31" borderId="1" xfId="0" applyNumberFormat="1" applyFont="1" applyFill="1" applyBorder="1" applyAlignment="1">
      <alignment horizontal="right" vertical="center" wrapText="1"/>
    </xf>
    <xf numFmtId="1" fontId="47" fillId="29" borderId="1" xfId="0" applyNumberFormat="1" applyFont="1" applyFill="1" applyBorder="1" applyAlignment="1">
      <alignment horizontal="right" vertical="center" wrapText="1"/>
    </xf>
    <xf numFmtId="1" fontId="47" fillId="28" borderId="1" xfId="0" applyNumberFormat="1" applyFont="1" applyFill="1" applyBorder="1" applyAlignment="1">
      <alignment horizontal="right" vertical="center" wrapText="1"/>
    </xf>
    <xf numFmtId="1" fontId="48" fillId="2" borderId="1" xfId="0" applyNumberFormat="1" applyFont="1" applyFill="1" applyBorder="1" applyAlignment="1" applyProtection="1">
      <alignment horizontal="right" vertical="center" wrapText="1"/>
      <protection locked="0"/>
    </xf>
    <xf numFmtId="1" fontId="48" fillId="0" borderId="1" xfId="0" applyNumberFormat="1" applyFont="1" applyBorder="1" applyAlignment="1" applyProtection="1">
      <alignment horizontal="right" vertical="center" wrapText="1"/>
      <protection locked="0"/>
    </xf>
    <xf numFmtId="1" fontId="47" fillId="2" borderId="1" xfId="0" applyNumberFormat="1" applyFont="1" applyFill="1" applyBorder="1" applyAlignment="1" applyProtection="1">
      <alignment horizontal="right" vertical="center" wrapText="1"/>
      <protection locked="0"/>
    </xf>
    <xf numFmtId="1" fontId="47" fillId="0" borderId="1" xfId="0" applyNumberFormat="1" applyFont="1" applyBorder="1" applyAlignment="1" applyProtection="1">
      <alignment horizontal="right" vertical="center" wrapText="1"/>
      <protection locked="0"/>
    </xf>
    <xf numFmtId="1" fontId="48" fillId="2" borderId="1" xfId="0" applyNumberFormat="1" applyFont="1" applyFill="1" applyBorder="1" applyAlignment="1">
      <alignment horizontal="right" vertical="center" wrapText="1"/>
    </xf>
    <xf numFmtId="1" fontId="47" fillId="2" borderId="1" xfId="0" applyNumberFormat="1" applyFont="1" applyFill="1" applyBorder="1" applyAlignment="1">
      <alignment horizontal="right" vertical="center" wrapText="1"/>
    </xf>
    <xf numFmtId="1" fontId="47" fillId="0" borderId="1" xfId="0" applyNumberFormat="1" applyFont="1" applyBorder="1" applyAlignment="1">
      <alignment horizontal="right" vertical="center" wrapText="1"/>
    </xf>
    <xf numFmtId="1" fontId="47" fillId="28" borderId="1" xfId="0" applyNumberFormat="1" applyFont="1" applyFill="1" applyBorder="1" applyAlignment="1" applyProtection="1">
      <alignment horizontal="right" vertical="center" wrapText="1"/>
      <protection locked="0"/>
    </xf>
    <xf numFmtId="1" fontId="54" fillId="28" borderId="1" xfId="0" applyNumberFormat="1" applyFont="1" applyFill="1" applyBorder="1" applyAlignment="1">
      <alignment horizontal="right" vertical="center" wrapText="1"/>
    </xf>
    <xf numFmtId="1" fontId="47" fillId="30" borderId="1" xfId="0" applyNumberFormat="1" applyFont="1" applyFill="1" applyBorder="1" applyAlignment="1">
      <alignment horizontal="right" vertical="center" wrapText="1"/>
    </xf>
    <xf numFmtId="0" fontId="34" fillId="0" borderId="1" xfId="1467" applyFont="1" applyBorder="1" applyAlignment="1">
      <alignment horizontal="center" vertical="center"/>
    </xf>
    <xf numFmtId="3" fontId="34" fillId="0" borderId="1" xfId="0" applyNumberFormat="1" applyFont="1" applyBorder="1" applyAlignment="1">
      <alignment horizontal="center" vertical="center" wrapText="1"/>
    </xf>
    <xf numFmtId="3" fontId="59" fillId="3" borderId="1" xfId="0" applyNumberFormat="1" applyFont="1" applyFill="1" applyBorder="1" applyAlignment="1">
      <alignment horizontal="center" vertical="center" wrapText="1"/>
    </xf>
    <xf numFmtId="166" fontId="59" fillId="3" borderId="1" xfId="12" applyNumberFormat="1" applyFont="1" applyFill="1" applyBorder="1" applyAlignment="1" applyProtection="1">
      <alignment horizontal="center" vertical="center" wrapText="1"/>
    </xf>
    <xf numFmtId="3" fontId="59" fillId="3" borderId="1" xfId="12" applyNumberFormat="1" applyFont="1" applyFill="1" applyBorder="1" applyAlignment="1" applyProtection="1">
      <alignment horizontal="center" vertical="center" wrapText="1"/>
    </xf>
    <xf numFmtId="0" fontId="34" fillId="0" borderId="1" xfId="1467" applyFont="1" applyBorder="1" applyAlignment="1">
      <alignment vertical="center" wrapText="1"/>
    </xf>
    <xf numFmtId="3" fontId="34" fillId="0" borderId="1" xfId="1467" applyNumberFormat="1" applyFont="1" applyBorder="1" applyAlignment="1" applyProtection="1">
      <alignment horizontal="center" vertical="center"/>
      <protection locked="0"/>
    </xf>
    <xf numFmtId="168" fontId="34" fillId="0" borderId="1" xfId="1467" applyNumberFormat="1" applyFont="1" applyBorder="1" applyAlignment="1" applyProtection="1">
      <alignment horizontal="center" vertical="center"/>
      <protection locked="0"/>
    </xf>
    <xf numFmtId="168" fontId="34" fillId="0" borderId="1" xfId="0" applyNumberFormat="1" applyFont="1" applyBorder="1" applyAlignment="1">
      <alignment horizontal="center" vertical="center" wrapText="1"/>
    </xf>
    <xf numFmtId="168" fontId="59" fillId="0" borderId="1" xfId="1467" applyNumberFormat="1" applyFont="1" applyBorder="1" applyAlignment="1" applyProtection="1">
      <alignment horizontal="center" vertical="center"/>
      <protection locked="0"/>
    </xf>
    <xf numFmtId="168" fontId="59" fillId="0" borderId="1" xfId="12" applyNumberFormat="1" applyFont="1" applyFill="1" applyBorder="1" applyAlignment="1" applyProtection="1">
      <alignment horizontal="center" vertical="center"/>
      <protection locked="0"/>
    </xf>
    <xf numFmtId="3" fontId="59" fillId="0" borderId="1" xfId="1467" applyNumberFormat="1" applyFont="1" applyBorder="1" applyAlignment="1" applyProtection="1">
      <alignment horizontal="center" vertical="center"/>
      <protection locked="0"/>
    </xf>
    <xf numFmtId="9" fontId="59" fillId="0" borderId="1" xfId="12" applyFont="1" applyFill="1" applyBorder="1" applyAlignment="1" applyProtection="1">
      <alignment horizontal="center" vertical="center"/>
      <protection locked="0"/>
    </xf>
    <xf numFmtId="49" fontId="34" fillId="0" borderId="1" xfId="1467" applyNumberFormat="1" applyFont="1" applyBorder="1" applyAlignment="1" applyProtection="1">
      <alignment horizontal="center" vertical="center"/>
      <protection locked="0"/>
    </xf>
    <xf numFmtId="0" fontId="58" fillId="28" borderId="1" xfId="1467" applyFont="1" applyFill="1" applyBorder="1" applyAlignment="1">
      <alignment horizontal="center" vertical="center"/>
    </xf>
    <xf numFmtId="0" fontId="58" fillId="28" borderId="1" xfId="1467" applyFont="1" applyFill="1" applyBorder="1" applyAlignment="1">
      <alignment vertical="center" wrapText="1"/>
    </xf>
    <xf numFmtId="3" fontId="58" fillId="28" borderId="1" xfId="1467" applyNumberFormat="1" applyFont="1" applyFill="1" applyBorder="1" applyAlignment="1">
      <alignment horizontal="center" vertical="center"/>
    </xf>
    <xf numFmtId="3" fontId="60" fillId="28" borderId="1" xfId="1467" applyNumberFormat="1" applyFont="1" applyFill="1" applyBorder="1" applyAlignment="1">
      <alignment horizontal="center" vertical="center"/>
    </xf>
    <xf numFmtId="9" fontId="60" fillId="28" borderId="1" xfId="12" applyFont="1" applyFill="1" applyBorder="1" applyAlignment="1" applyProtection="1">
      <alignment horizontal="center" vertical="center"/>
    </xf>
    <xf numFmtId="49" fontId="58" fillId="28" borderId="1" xfId="1467" applyNumberFormat="1" applyFont="1" applyFill="1" applyBorder="1" applyAlignment="1">
      <alignment horizontal="center" vertical="center"/>
    </xf>
    <xf numFmtId="3" fontId="58" fillId="28" borderId="1" xfId="1467" applyNumberFormat="1" applyFont="1" applyFill="1" applyBorder="1" applyAlignment="1" applyProtection="1">
      <alignment horizontal="center" vertical="center"/>
      <protection locked="0"/>
    </xf>
    <xf numFmtId="9" fontId="59" fillId="28" borderId="1" xfId="12" applyFont="1" applyFill="1" applyBorder="1" applyAlignment="1" applyProtection="1">
      <alignment horizontal="center" vertical="center"/>
      <protection locked="0"/>
    </xf>
    <xf numFmtId="3" fontId="59" fillId="28" borderId="1" xfId="1467" applyNumberFormat="1" applyFont="1" applyFill="1" applyBorder="1" applyAlignment="1" applyProtection="1">
      <alignment horizontal="center" vertical="center"/>
      <protection locked="0"/>
    </xf>
    <xf numFmtId="49" fontId="34" fillId="28" borderId="1" xfId="1467" applyNumberFormat="1" applyFont="1" applyFill="1" applyBorder="1" applyAlignment="1" applyProtection="1">
      <alignment horizontal="center" vertical="center"/>
      <protection locked="0"/>
    </xf>
    <xf numFmtId="0" fontId="58" fillId="31" borderId="1" xfId="1467" applyFont="1" applyFill="1" applyBorder="1" applyAlignment="1">
      <alignment horizontal="center" vertical="center"/>
    </xf>
    <xf numFmtId="0" fontId="58" fillId="31" borderId="1" xfId="1467" applyFont="1" applyFill="1" applyBorder="1" applyAlignment="1">
      <alignment vertical="center" wrapText="1"/>
    </xf>
    <xf numFmtId="3" fontId="58" fillId="31" borderId="1" xfId="1467" applyNumberFormat="1" applyFont="1" applyFill="1" applyBorder="1" applyAlignment="1">
      <alignment horizontal="center" vertical="center"/>
    </xf>
    <xf numFmtId="9" fontId="59" fillId="31" borderId="1" xfId="12" applyFont="1" applyFill="1" applyBorder="1" applyAlignment="1" applyProtection="1">
      <alignment horizontal="center" vertical="center"/>
      <protection locked="0"/>
    </xf>
    <xf numFmtId="0" fontId="34" fillId="2" borderId="1" xfId="1467" applyFont="1" applyFill="1" applyBorder="1" applyAlignment="1">
      <alignment horizontal="center" vertical="center"/>
    </xf>
    <xf numFmtId="0" fontId="34" fillId="2" borderId="1" xfId="1467" applyFont="1" applyFill="1" applyBorder="1" applyAlignment="1">
      <alignment vertical="center" wrapText="1"/>
    </xf>
    <xf numFmtId="3" fontId="58" fillId="2" borderId="1" xfId="1467" applyNumberFormat="1" applyFont="1" applyFill="1" applyBorder="1" applyAlignment="1">
      <alignment horizontal="center" vertical="center"/>
    </xf>
    <xf numFmtId="3" fontId="60" fillId="2" borderId="1" xfId="1467" applyNumberFormat="1" applyFont="1" applyFill="1" applyBorder="1" applyAlignment="1">
      <alignment horizontal="center" vertical="center"/>
    </xf>
    <xf numFmtId="9" fontId="60" fillId="2" borderId="1" xfId="12" applyFont="1" applyFill="1" applyBorder="1" applyAlignment="1" applyProtection="1">
      <alignment horizontal="center" vertical="center"/>
    </xf>
    <xf numFmtId="49" fontId="58" fillId="2" borderId="1" xfId="1467" applyNumberFormat="1" applyFont="1" applyFill="1" applyBorder="1" applyAlignment="1">
      <alignment horizontal="center" vertical="center"/>
    </xf>
    <xf numFmtId="3" fontId="61" fillId="0" borderId="0" xfId="1467" applyNumberFormat="1" applyFont="1" applyAlignment="1">
      <alignment horizontal="center" vertical="center"/>
    </xf>
    <xf numFmtId="9" fontId="61" fillId="0" borderId="0" xfId="12" applyFont="1" applyFill="1" applyBorder="1" applyAlignment="1" applyProtection="1">
      <alignment horizontal="center" vertical="center"/>
    </xf>
    <xf numFmtId="0" fontId="34" fillId="0" borderId="0" xfId="1467" applyFont="1" applyAlignment="1">
      <alignment vertical="center"/>
    </xf>
    <xf numFmtId="0" fontId="34" fillId="0" borderId="0" xfId="1467" applyFont="1" applyAlignment="1">
      <alignment horizontal="left" vertical="center" wrapText="1"/>
    </xf>
    <xf numFmtId="1" fontId="52" fillId="31" borderId="1" xfId="12" applyNumberFormat="1" applyFont="1" applyFill="1" applyBorder="1" applyAlignment="1" applyProtection="1">
      <alignment horizontal="center" vertical="center" wrapText="1"/>
    </xf>
    <xf numFmtId="1" fontId="52" fillId="28" borderId="1" xfId="12" applyNumberFormat="1" applyFont="1" applyFill="1" applyBorder="1" applyAlignment="1" applyProtection="1">
      <alignment horizontal="center" vertical="center" wrapText="1"/>
    </xf>
    <xf numFmtId="49" fontId="58" fillId="0" borderId="1" xfId="1467" applyNumberFormat="1" applyFont="1" applyBorder="1" applyAlignment="1">
      <alignment horizontal="left" vertical="center" wrapText="1"/>
    </xf>
    <xf numFmtId="49" fontId="34" fillId="0" borderId="1" xfId="1467" applyNumberFormat="1" applyFont="1" applyBorder="1" applyAlignment="1" applyProtection="1">
      <alignment horizontal="left" vertical="center" wrapText="1"/>
      <protection locked="0"/>
    </xf>
    <xf numFmtId="0" fontId="39" fillId="0" borderId="0" xfId="1467" applyFont="1" applyAlignment="1">
      <alignment horizontal="left" vertical="center" wrapText="1"/>
    </xf>
    <xf numFmtId="0" fontId="39" fillId="0" borderId="0" xfId="0" applyFont="1" applyAlignment="1">
      <alignment horizontal="left" vertical="center" wrapText="1"/>
    </xf>
    <xf numFmtId="0" fontId="39" fillId="0" borderId="0" xfId="1467" applyFont="1" applyAlignment="1">
      <alignment vertical="center" wrapText="1"/>
    </xf>
    <xf numFmtId="0" fontId="46" fillId="0" borderId="0" xfId="1467" applyFont="1" applyAlignment="1" applyProtection="1">
      <alignment vertical="center" wrapText="1"/>
      <protection locked="0"/>
    </xf>
    <xf numFmtId="0" fontId="39" fillId="0" borderId="0" xfId="0" applyFont="1" applyAlignment="1">
      <alignment vertical="center" wrapText="1"/>
    </xf>
    <xf numFmtId="3" fontId="52" fillId="0" borderId="1" xfId="6" applyNumberFormat="1" applyFont="1" applyBorder="1" applyAlignment="1">
      <alignment horizontal="center" vertical="center" wrapText="1"/>
    </xf>
    <xf numFmtId="9" fontId="52" fillId="0" borderId="1" xfId="12" applyFont="1" applyFill="1" applyBorder="1" applyAlignment="1" applyProtection="1">
      <alignment horizontal="center" vertical="center" wrapText="1"/>
    </xf>
    <xf numFmtId="3" fontId="52" fillId="32" borderId="1" xfId="6" applyNumberFormat="1" applyFont="1" applyFill="1" applyBorder="1" applyAlignment="1">
      <alignment horizontal="center" vertical="center" wrapText="1"/>
    </xf>
    <xf numFmtId="9" fontId="52" fillId="32" borderId="1" xfId="12" applyFont="1" applyFill="1" applyBorder="1" applyAlignment="1" applyProtection="1">
      <alignment horizontal="center" vertical="center" wrapText="1"/>
    </xf>
    <xf numFmtId="3" fontId="47" fillId="0" borderId="1" xfId="0" applyNumberFormat="1" applyFont="1" applyBorder="1" applyAlignment="1" applyProtection="1">
      <alignment horizontal="left" vertical="center" wrapText="1"/>
      <protection locked="0"/>
    </xf>
    <xf numFmtId="3" fontId="52" fillId="0" borderId="26" xfId="0" applyNumberFormat="1" applyFont="1" applyBorder="1" applyAlignment="1">
      <alignment horizontal="left" vertical="center" wrapText="1"/>
    </xf>
    <xf numFmtId="3" fontId="48" fillId="0" borderId="1" xfId="6" applyNumberFormat="1" applyFont="1" applyBorder="1" applyAlignment="1">
      <alignment horizontal="right" vertical="center"/>
    </xf>
    <xf numFmtId="49" fontId="48" fillId="0" borderId="1" xfId="6" applyNumberFormat="1" applyFont="1" applyBorder="1" applyAlignment="1">
      <alignment horizontal="left" vertical="center" wrapText="1"/>
    </xf>
    <xf numFmtId="49" fontId="48" fillId="0" borderId="4" xfId="6" applyNumberFormat="1" applyFont="1" applyBorder="1" applyAlignment="1">
      <alignment horizontal="left" vertical="center" wrapText="1"/>
    </xf>
    <xf numFmtId="3" fontId="58" fillId="30" borderId="1" xfId="0" applyNumberFormat="1" applyFont="1" applyFill="1" applyBorder="1" applyAlignment="1">
      <alignment horizontal="center" vertical="center"/>
    </xf>
    <xf numFmtId="0" fontId="47" fillId="0" borderId="1" xfId="0" applyFont="1" applyBorder="1" applyAlignment="1">
      <alignment horizontal="center" vertical="center"/>
    </xf>
    <xf numFmtId="49" fontId="47" fillId="0" borderId="6" xfId="1" applyNumberFormat="1" applyFont="1" applyBorder="1" applyAlignment="1">
      <alignment horizontal="center" vertical="center"/>
    </xf>
    <xf numFmtId="49" fontId="49" fillId="0" borderId="1" xfId="12" applyNumberFormat="1" applyFont="1" applyFill="1" applyBorder="1" applyAlignment="1" applyProtection="1">
      <alignment horizontal="left" vertical="center" wrapText="1"/>
    </xf>
    <xf numFmtId="3" fontId="59" fillId="0" borderId="1" xfId="0" applyNumberFormat="1" applyFont="1" applyBorder="1" applyAlignment="1">
      <alignment horizontal="center" vertical="center" wrapText="1"/>
    </xf>
    <xf numFmtId="166" fontId="59" fillId="0" borderId="1" xfId="12" applyNumberFormat="1" applyFont="1" applyFill="1" applyBorder="1" applyAlignment="1" applyProtection="1">
      <alignment horizontal="center" vertical="center" wrapText="1"/>
    </xf>
    <xf numFmtId="3" fontId="59" fillId="0" borderId="1" xfId="12" applyNumberFormat="1" applyFont="1" applyFill="1" applyBorder="1" applyAlignment="1" applyProtection="1">
      <alignment horizontal="center" vertical="center" wrapText="1"/>
    </xf>
    <xf numFmtId="168" fontId="34" fillId="0" borderId="1" xfId="1467" applyNumberFormat="1" applyFont="1" applyBorder="1" applyAlignment="1" applyProtection="1">
      <alignment horizontal="left" vertical="center" wrapText="1"/>
      <protection locked="0"/>
    </xf>
    <xf numFmtId="3" fontId="58" fillId="0" borderId="1" xfId="1467" applyNumberFormat="1" applyFont="1" applyBorder="1" applyAlignment="1">
      <alignment horizontal="center" vertical="center"/>
    </xf>
    <xf numFmtId="3" fontId="60" fillId="0" borderId="1" xfId="1467" applyNumberFormat="1" applyFont="1" applyBorder="1" applyAlignment="1">
      <alignment horizontal="center" vertical="center"/>
    </xf>
    <xf numFmtId="9" fontId="60" fillId="0" borderId="1" xfId="12" applyFont="1" applyFill="1" applyBorder="1" applyAlignment="1" applyProtection="1">
      <alignment horizontal="center" vertical="center"/>
    </xf>
    <xf numFmtId="49" fontId="58" fillId="0" borderId="1" xfId="1467" applyNumberFormat="1" applyFont="1" applyBorder="1" applyAlignment="1">
      <alignment horizontal="center" vertical="center"/>
    </xf>
    <xf numFmtId="49" fontId="34" fillId="0" borderId="1" xfId="1467" applyNumberFormat="1" applyFont="1" applyBorder="1" applyAlignment="1">
      <alignment horizontal="left" vertical="center" wrapText="1"/>
    </xf>
    <xf numFmtId="3" fontId="58" fillId="0" borderId="1" xfId="1467" applyNumberFormat="1" applyFont="1" applyBorder="1" applyAlignment="1" applyProtection="1">
      <alignment horizontal="center" vertical="center"/>
      <protection locked="0"/>
    </xf>
    <xf numFmtId="3" fontId="58" fillId="0" borderId="1" xfId="1467" applyNumberFormat="1" applyFont="1" applyBorder="1" applyAlignment="1" applyProtection="1">
      <alignment horizontal="left" vertical="center" wrapText="1"/>
      <protection locked="0"/>
    </xf>
    <xf numFmtId="3" fontId="58" fillId="0" borderId="1" xfId="1467" applyNumberFormat="1" applyFont="1" applyBorder="1" applyAlignment="1">
      <alignment horizontal="left" vertical="center" wrapText="1"/>
    </xf>
    <xf numFmtId="3" fontId="34" fillId="0" borderId="0" xfId="1467" applyNumberFormat="1" applyFont="1" applyAlignment="1">
      <alignment horizontal="center" vertical="center"/>
    </xf>
    <xf numFmtId="3" fontId="59" fillId="0" borderId="0" xfId="1467" applyNumberFormat="1" applyFont="1" applyAlignment="1">
      <alignment horizontal="center" vertical="center"/>
    </xf>
    <xf numFmtId="9" fontId="59" fillId="0" borderId="0" xfId="12" applyFont="1" applyFill="1" applyBorder="1" applyAlignment="1" applyProtection="1">
      <alignment horizontal="center" vertical="center"/>
    </xf>
    <xf numFmtId="49" fontId="34" fillId="0" borderId="0" xfId="1467" applyNumberFormat="1" applyFont="1" applyAlignment="1">
      <alignment horizontal="left" vertical="center" wrapText="1"/>
    </xf>
    <xf numFmtId="49" fontId="34" fillId="0" borderId="0" xfId="1467" applyNumberFormat="1" applyFont="1" applyAlignment="1">
      <alignment horizontal="center" vertical="center"/>
    </xf>
    <xf numFmtId="0" fontId="58" fillId="0" borderId="0" xfId="1467" applyFont="1" applyAlignment="1">
      <alignment horizontal="center"/>
    </xf>
    <xf numFmtId="168" fontId="34" fillId="0" borderId="0" xfId="1467" applyNumberFormat="1" applyFont="1" applyAlignment="1">
      <alignment horizontal="right" vertical="center"/>
    </xf>
    <xf numFmtId="0" fontId="34" fillId="0" borderId="0" xfId="1467" applyFont="1" applyAlignment="1">
      <alignment horizontal="right" vertical="center"/>
    </xf>
    <xf numFmtId="0" fontId="63" fillId="0" borderId="0" xfId="1467" applyFont="1" applyAlignment="1">
      <alignment horizontal="right" vertical="center"/>
    </xf>
    <xf numFmtId="0" fontId="63" fillId="0" borderId="0" xfId="1467" applyFont="1" applyAlignment="1">
      <alignment horizontal="right" vertical="center" wrapText="1"/>
    </xf>
    <xf numFmtId="168" fontId="63" fillId="0" borderId="0" xfId="1467" applyNumberFormat="1" applyFont="1" applyAlignment="1">
      <alignment horizontal="right" vertical="center"/>
    </xf>
    <xf numFmtId="0" fontId="63" fillId="0" borderId="0" xfId="1467" applyFont="1" applyAlignment="1">
      <alignment vertical="center"/>
    </xf>
    <xf numFmtId="168" fontId="63" fillId="0" borderId="0" xfId="1467" applyNumberFormat="1" applyFont="1" applyAlignment="1">
      <alignment vertical="center"/>
    </xf>
    <xf numFmtId="3" fontId="63" fillId="0" borderId="0" xfId="1467" applyNumberFormat="1" applyFont="1" applyAlignment="1">
      <alignment vertical="center"/>
    </xf>
    <xf numFmtId="3" fontId="39" fillId="0" borderId="0" xfId="0" applyNumberFormat="1" applyFont="1" applyAlignment="1">
      <alignment vertical="center"/>
    </xf>
    <xf numFmtId="3" fontId="64" fillId="0" borderId="0" xfId="0" applyNumberFormat="1" applyFont="1" applyAlignment="1">
      <alignment vertical="center"/>
    </xf>
    <xf numFmtId="0" fontId="64" fillId="0" borderId="0" xfId="0" applyFont="1" applyAlignment="1">
      <alignment vertical="center"/>
    </xf>
    <xf numFmtId="49" fontId="47" fillId="0" borderId="26" xfId="1" applyNumberFormat="1" applyFont="1" applyBorder="1" applyAlignment="1">
      <alignment horizontal="left" vertical="center"/>
    </xf>
    <xf numFmtId="3" fontId="48" fillId="0" borderId="1" xfId="14" applyNumberFormat="1" applyFont="1" applyFill="1" applyBorder="1" applyAlignment="1" applyProtection="1">
      <alignment horizontal="right" vertical="center"/>
      <protection locked="0"/>
    </xf>
    <xf numFmtId="49" fontId="47" fillId="0" borderId="1" xfId="1" applyNumberFormat="1" applyFont="1" applyBorder="1" applyAlignment="1">
      <alignment vertical="center"/>
    </xf>
    <xf numFmtId="49" fontId="47" fillId="0" borderId="4" xfId="1" applyNumberFormat="1" applyFont="1" applyBorder="1" applyAlignment="1">
      <alignment vertical="center"/>
    </xf>
    <xf numFmtId="49" fontId="47" fillId="0" borderId="4" xfId="1" applyNumberFormat="1" applyFont="1" applyBorder="1" applyAlignment="1" applyProtection="1">
      <alignment horizontal="center" vertical="center"/>
      <protection locked="0"/>
    </xf>
    <xf numFmtId="3" fontId="47" fillId="0" borderId="1" xfId="1" applyNumberFormat="1" applyFont="1" applyBorder="1" applyAlignment="1" applyProtection="1">
      <alignment horizontal="right" vertical="center"/>
      <protection locked="0"/>
    </xf>
    <xf numFmtId="3" fontId="47" fillId="32" borderId="1" xfId="1" applyNumberFormat="1" applyFont="1" applyFill="1" applyBorder="1" applyAlignment="1">
      <alignment horizontal="right" vertical="center"/>
    </xf>
    <xf numFmtId="49" fontId="47" fillId="0" borderId="26" xfId="6" applyNumberFormat="1" applyFont="1" applyBorder="1" applyAlignment="1">
      <alignment horizontal="left" vertical="center"/>
    </xf>
    <xf numFmtId="49" fontId="48" fillId="0" borderId="1" xfId="6" applyNumberFormat="1" applyFont="1" applyBorder="1" applyAlignment="1">
      <alignment horizontal="right" vertical="center"/>
    </xf>
    <xf numFmtId="3" fontId="49" fillId="0" borderId="6" xfId="6" applyNumberFormat="1" applyFont="1" applyBorder="1" applyAlignment="1">
      <alignment horizontal="left" vertical="center" wrapText="1" indent="2"/>
    </xf>
    <xf numFmtId="3" fontId="48" fillId="0" borderId="6" xfId="6" applyNumberFormat="1" applyFont="1" applyBorder="1" applyAlignment="1" applyProtection="1">
      <alignment horizontal="right" vertical="center" wrapText="1"/>
      <protection locked="0"/>
    </xf>
    <xf numFmtId="3" fontId="48" fillId="0" borderId="6" xfId="6" applyNumberFormat="1" applyFont="1" applyBorder="1" applyAlignment="1">
      <alignment vertical="center" wrapText="1"/>
    </xf>
    <xf numFmtId="3" fontId="47" fillId="0" borderId="1" xfId="0" applyNumberFormat="1" applyFont="1" applyBorder="1" applyAlignment="1">
      <alignment horizontal="right" vertical="center" wrapText="1"/>
    </xf>
    <xf numFmtId="0" fontId="48" fillId="0" borderId="1" xfId="1" applyFont="1" applyBorder="1" applyAlignment="1">
      <alignment horizontal="center" vertical="center" wrapText="1"/>
    </xf>
    <xf numFmtId="0" fontId="48" fillId="0" borderId="1" xfId="1" applyFont="1" applyBorder="1" applyAlignment="1">
      <alignment horizontal="center" vertical="center"/>
    </xf>
    <xf numFmtId="0" fontId="48" fillId="0" borderId="0" xfId="1" applyFont="1" applyAlignment="1">
      <alignment vertical="center"/>
    </xf>
    <xf numFmtId="49" fontId="47" fillId="31" borderId="1" xfId="1" applyNumberFormat="1" applyFont="1" applyFill="1" applyBorder="1" applyAlignment="1">
      <alignment horizontal="center" vertical="center" wrapText="1"/>
    </xf>
    <xf numFmtId="0" fontId="47" fillId="31" borderId="1" xfId="1" applyFont="1" applyFill="1" applyBorder="1" applyAlignment="1">
      <alignment horizontal="center" vertical="center" wrapText="1"/>
    </xf>
    <xf numFmtId="3" fontId="47" fillId="31" borderId="1" xfId="1" applyNumberFormat="1" applyFont="1" applyFill="1" applyBorder="1" applyAlignment="1">
      <alignment horizontal="center" vertical="center" wrapText="1"/>
    </xf>
    <xf numFmtId="0" fontId="48" fillId="0" borderId="0" xfId="1" applyFont="1" applyAlignment="1">
      <alignment vertical="center" wrapText="1"/>
    </xf>
    <xf numFmtId="49" fontId="47" fillId="28" borderId="1" xfId="5" applyNumberFormat="1" applyFont="1" applyFill="1" applyBorder="1" applyAlignment="1">
      <alignment horizontal="center" vertical="center" wrapText="1"/>
    </xf>
    <xf numFmtId="49" fontId="47" fillId="2" borderId="1" xfId="5" applyNumberFormat="1" applyFont="1" applyFill="1" applyBorder="1" applyAlignment="1">
      <alignment horizontal="center" vertical="center" wrapText="1"/>
    </xf>
    <xf numFmtId="3" fontId="47" fillId="2" borderId="1" xfId="6" applyNumberFormat="1" applyFont="1" applyFill="1" applyBorder="1" applyAlignment="1">
      <alignment vertical="center" wrapText="1"/>
    </xf>
    <xf numFmtId="3" fontId="47" fillId="2" borderId="1" xfId="5" applyNumberFormat="1" applyFont="1" applyFill="1" applyBorder="1" applyAlignment="1" applyProtection="1">
      <alignment vertical="center" wrapText="1"/>
      <protection locked="0"/>
    </xf>
    <xf numFmtId="49" fontId="48" fillId="2" borderId="1" xfId="5" applyNumberFormat="1" applyFont="1" applyFill="1" applyBorder="1" applyAlignment="1">
      <alignment horizontal="center" vertical="center" wrapText="1"/>
    </xf>
    <xf numFmtId="3" fontId="48" fillId="2" borderId="1" xfId="5" applyNumberFormat="1" applyFont="1" applyFill="1" applyBorder="1" applyAlignment="1" applyProtection="1">
      <alignment vertical="center" wrapText="1"/>
      <protection locked="0"/>
    </xf>
    <xf numFmtId="49" fontId="48" fillId="0" borderId="1" xfId="5" applyNumberFormat="1" applyFont="1" applyBorder="1" applyAlignment="1">
      <alignment horizontal="center" vertical="center" wrapText="1"/>
    </xf>
    <xf numFmtId="3" fontId="48" fillId="0" borderId="1" xfId="5" applyNumberFormat="1" applyFont="1" applyBorder="1" applyAlignment="1" applyProtection="1">
      <alignment vertical="center" wrapText="1"/>
      <protection locked="0"/>
    </xf>
    <xf numFmtId="0" fontId="34" fillId="0" borderId="1" xfId="0" applyFont="1" applyBorder="1"/>
    <xf numFmtId="3" fontId="47" fillId="2" borderId="1" xfId="0" applyNumberFormat="1" applyFont="1" applyFill="1" applyBorder="1" applyAlignment="1" applyProtection="1">
      <alignment vertical="center" wrapText="1"/>
      <protection locked="0"/>
    </xf>
    <xf numFmtId="3" fontId="47" fillId="2" borderId="1" xfId="7" applyNumberFormat="1" applyFont="1" applyFill="1" applyBorder="1" applyAlignment="1" applyProtection="1">
      <alignment vertical="center" wrapText="1"/>
      <protection locked="0"/>
    </xf>
    <xf numFmtId="49" fontId="48" fillId="31" borderId="1" xfId="5" applyNumberFormat="1" applyFont="1" applyFill="1" applyBorder="1" applyAlignment="1">
      <alignment horizontal="center" vertical="center" wrapText="1"/>
    </xf>
    <xf numFmtId="3" fontId="48" fillId="31" borderId="1" xfId="5" applyNumberFormat="1" applyFont="1" applyFill="1" applyBorder="1" applyAlignment="1" applyProtection="1">
      <alignment vertical="center" wrapText="1"/>
      <protection locked="0"/>
    </xf>
    <xf numFmtId="49" fontId="47" fillId="28" borderId="1" xfId="1" applyNumberFormat="1" applyFont="1" applyFill="1" applyBorder="1" applyAlignment="1">
      <alignment horizontal="center" vertical="center" wrapText="1"/>
    </xf>
    <xf numFmtId="3" fontId="47" fillId="28" borderId="1" xfId="1" applyNumberFormat="1" applyFont="1" applyFill="1" applyBorder="1" applyAlignment="1">
      <alignment vertical="center" wrapText="1"/>
    </xf>
    <xf numFmtId="0" fontId="47" fillId="0" borderId="0" xfId="1" applyFont="1" applyAlignment="1">
      <alignment vertical="center" wrapText="1"/>
    </xf>
    <xf numFmtId="49" fontId="48" fillId="0" borderId="1" xfId="1" applyNumberFormat="1" applyFont="1" applyBorder="1" applyAlignment="1">
      <alignment horizontal="center" vertical="center" wrapText="1"/>
    </xf>
    <xf numFmtId="3" fontId="48" fillId="0" borderId="1" xfId="1" applyNumberFormat="1" applyFont="1" applyBorder="1" applyAlignment="1">
      <alignment vertical="center" wrapText="1"/>
    </xf>
    <xf numFmtId="49" fontId="47" fillId="0" borderId="1" xfId="1" applyNumberFormat="1" applyFont="1" applyBorder="1" applyAlignment="1">
      <alignment horizontal="center" vertical="center" wrapText="1"/>
    </xf>
    <xf numFmtId="3" fontId="47" fillId="0" borderId="1" xfId="6" applyNumberFormat="1" applyFont="1" applyBorder="1" applyAlignment="1">
      <alignment vertical="center" wrapText="1"/>
    </xf>
    <xf numFmtId="3" fontId="47" fillId="0" borderId="1" xfId="1" applyNumberFormat="1" applyFont="1" applyBorder="1" applyAlignment="1">
      <alignment vertical="center" wrapText="1"/>
    </xf>
    <xf numFmtId="0" fontId="47" fillId="28" borderId="1" xfId="1" applyFont="1" applyFill="1" applyBorder="1" applyAlignment="1">
      <alignment horizontal="left" vertical="center" wrapText="1"/>
    </xf>
    <xf numFmtId="49" fontId="48" fillId="0" borderId="0" xfId="1" applyNumberFormat="1" applyFont="1" applyAlignment="1">
      <alignment horizontal="center" vertical="center"/>
    </xf>
    <xf numFmtId="3" fontId="58" fillId="28" borderId="1" xfId="6" applyNumberFormat="1" applyFont="1" applyFill="1" applyBorder="1" applyAlignment="1">
      <alignment horizontal="right" vertical="center"/>
    </xf>
    <xf numFmtId="3" fontId="47" fillId="34" borderId="1" xfId="1" applyNumberFormat="1" applyFont="1" applyFill="1" applyBorder="1" applyAlignment="1">
      <alignment horizontal="right" vertical="center"/>
    </xf>
    <xf numFmtId="3" fontId="47" fillId="34" borderId="1" xfId="1" applyNumberFormat="1" applyFont="1" applyFill="1" applyBorder="1" applyAlignment="1" applyProtection="1">
      <alignment horizontal="right" vertical="center"/>
      <protection locked="0"/>
    </xf>
    <xf numFmtId="49" fontId="48" fillId="0" borderId="1" xfId="1" applyNumberFormat="1" applyFont="1" applyBorder="1" applyAlignment="1">
      <alignment horizontal="left" vertical="center" wrapText="1"/>
    </xf>
    <xf numFmtId="3" fontId="67" fillId="2" borderId="1" xfId="0" applyNumberFormat="1" applyFont="1" applyFill="1" applyBorder="1" applyAlignment="1" applyProtection="1">
      <alignment vertical="center" wrapText="1"/>
      <protection locked="0"/>
    </xf>
    <xf numFmtId="3" fontId="66" fillId="2" borderId="1" xfId="0" applyNumberFormat="1" applyFont="1" applyFill="1" applyBorder="1" applyAlignment="1" applyProtection="1">
      <alignment vertical="center" wrapText="1"/>
      <protection locked="0"/>
    </xf>
    <xf numFmtId="3" fontId="66" fillId="0" borderId="1" xfId="0" applyNumberFormat="1" applyFont="1" applyBorder="1" applyAlignment="1" applyProtection="1">
      <alignment vertical="center" wrapText="1"/>
      <protection locked="0"/>
    </xf>
    <xf numFmtId="3" fontId="67" fillId="28" borderId="1" xfId="1" applyNumberFormat="1" applyFont="1" applyFill="1" applyBorder="1" applyAlignment="1">
      <alignment vertical="center" wrapText="1"/>
    </xf>
    <xf numFmtId="3" fontId="66" fillId="0" borderId="1" xfId="1" applyNumberFormat="1" applyFont="1" applyBorder="1" applyAlignment="1">
      <alignment vertical="center" wrapText="1"/>
    </xf>
    <xf numFmtId="0" fontId="66" fillId="0" borderId="0" xfId="1" applyFont="1" applyAlignment="1">
      <alignment vertical="center"/>
    </xf>
    <xf numFmtId="3" fontId="48" fillId="2" borderId="1" xfId="0" applyNumberFormat="1" applyFont="1" applyFill="1" applyBorder="1" applyAlignment="1" applyProtection="1">
      <alignment vertical="center" wrapText="1"/>
      <protection locked="0"/>
    </xf>
    <xf numFmtId="3" fontId="48" fillId="0" borderId="1" xfId="0" applyNumberFormat="1" applyFont="1" applyBorder="1" applyAlignment="1" applyProtection="1">
      <alignment vertical="center" wrapText="1"/>
      <protection locked="0"/>
    </xf>
    <xf numFmtId="3" fontId="47" fillId="28" borderId="1" xfId="0" applyNumberFormat="1" applyFont="1" applyFill="1" applyBorder="1" applyAlignment="1" applyProtection="1">
      <alignment vertical="center" wrapText="1"/>
      <protection locked="0"/>
    </xf>
    <xf numFmtId="49" fontId="49" fillId="33" borderId="1" xfId="12" applyNumberFormat="1" applyFont="1" applyFill="1" applyBorder="1" applyAlignment="1" applyProtection="1">
      <alignment horizontal="left" vertical="center" wrapText="1"/>
    </xf>
    <xf numFmtId="3" fontId="47" fillId="28" borderId="1" xfId="1" applyNumberFormat="1" applyFont="1" applyFill="1" applyBorder="1" applyAlignment="1">
      <alignment horizontal="right" vertical="center" wrapText="1"/>
    </xf>
    <xf numFmtId="3" fontId="47" fillId="0" borderId="0" xfId="1" applyNumberFormat="1" applyFont="1" applyAlignment="1">
      <alignment horizontal="right" vertical="center" wrapText="1"/>
    </xf>
    <xf numFmtId="0" fontId="48" fillId="0" borderId="0" xfId="0" applyFont="1" applyAlignment="1" applyProtection="1">
      <alignment vertical="center" wrapText="1"/>
      <protection locked="0"/>
    </xf>
    <xf numFmtId="3" fontId="48" fillId="2" borderId="1" xfId="7" applyNumberFormat="1" applyFont="1" applyFill="1" applyBorder="1" applyAlignment="1" applyProtection="1">
      <alignment vertical="center" wrapText="1"/>
      <protection locked="0"/>
    </xf>
    <xf numFmtId="3" fontId="66" fillId="2" borderId="1" xfId="0" applyNumberFormat="1" applyFont="1" applyFill="1" applyBorder="1" applyAlignment="1" applyProtection="1">
      <alignment horizontal="right" vertical="center" wrapText="1"/>
      <protection locked="0"/>
    </xf>
    <xf numFmtId="3" fontId="66" fillId="2" borderId="1" xfId="7" applyNumberFormat="1" applyFont="1" applyFill="1" applyBorder="1" applyAlignment="1" applyProtection="1">
      <alignment vertical="center" wrapText="1"/>
      <protection locked="0"/>
    </xf>
    <xf numFmtId="3" fontId="66" fillId="2" borderId="1" xfId="5" applyNumberFormat="1" applyFont="1" applyFill="1" applyBorder="1" applyAlignment="1" applyProtection="1">
      <alignment vertical="center" wrapText="1"/>
      <protection locked="0"/>
    </xf>
    <xf numFmtId="3" fontId="67" fillId="2" borderId="1" xfId="0" applyNumberFormat="1" applyFont="1" applyFill="1" applyBorder="1" applyAlignment="1" applyProtection="1">
      <alignment horizontal="right" vertical="center" wrapText="1"/>
      <protection locked="0"/>
    </xf>
    <xf numFmtId="3" fontId="67" fillId="2" borderId="1" xfId="7" applyNumberFormat="1" applyFont="1" applyFill="1" applyBorder="1" applyAlignment="1" applyProtection="1">
      <alignment vertical="center" wrapText="1"/>
      <protection locked="0"/>
    </xf>
    <xf numFmtId="3" fontId="67" fillId="2" borderId="1" xfId="5" applyNumberFormat="1" applyFont="1" applyFill="1" applyBorder="1" applyAlignment="1" applyProtection="1">
      <alignment vertical="center" wrapText="1"/>
      <protection locked="0"/>
    </xf>
    <xf numFmtId="3" fontId="66" fillId="0" borderId="1" xfId="0" applyNumberFormat="1" applyFont="1" applyBorder="1" applyAlignment="1" applyProtection="1">
      <alignment horizontal="right" vertical="center" wrapText="1"/>
      <protection locked="0"/>
    </xf>
    <xf numFmtId="3" fontId="66" fillId="0" borderId="1" xfId="7" applyNumberFormat="1" applyFont="1" applyBorder="1" applyAlignment="1" applyProtection="1">
      <alignment vertical="center" wrapText="1"/>
      <protection locked="0"/>
    </xf>
    <xf numFmtId="3" fontId="66" fillId="0" borderId="1" xfId="5" applyNumberFormat="1" applyFont="1" applyBorder="1" applyAlignment="1" applyProtection="1">
      <alignment vertical="center" wrapText="1"/>
      <protection locked="0"/>
    </xf>
    <xf numFmtId="3" fontId="66" fillId="28" borderId="1" xfId="0" applyNumberFormat="1" applyFont="1" applyFill="1" applyBorder="1" applyAlignment="1" applyProtection="1">
      <alignment horizontal="right" vertical="center" wrapText="1"/>
      <protection locked="0"/>
    </xf>
    <xf numFmtId="3" fontId="66" fillId="28" borderId="1" xfId="7" applyNumberFormat="1" applyFont="1" applyFill="1" applyBorder="1" applyAlignment="1" applyProtection="1">
      <alignment vertical="center" wrapText="1"/>
      <protection locked="0"/>
    </xf>
    <xf numFmtId="3" fontId="66" fillId="28" borderId="1" xfId="5" applyNumberFormat="1" applyFont="1" applyFill="1" applyBorder="1" applyAlignment="1" applyProtection="1">
      <alignment vertical="center" wrapText="1"/>
      <protection locked="0"/>
    </xf>
    <xf numFmtId="3" fontId="68" fillId="2" borderId="1" xfId="7" applyNumberFormat="1" applyFont="1" applyFill="1" applyBorder="1" applyAlignment="1" applyProtection="1">
      <alignment vertical="center" wrapText="1"/>
      <protection locked="0"/>
    </xf>
    <xf numFmtId="3" fontId="67" fillId="0" borderId="1" xfId="7" applyNumberFormat="1" applyFont="1" applyBorder="1" applyAlignment="1" applyProtection="1">
      <alignment vertical="center" wrapText="1"/>
      <protection locked="0"/>
    </xf>
    <xf numFmtId="3" fontId="67" fillId="0" borderId="1" xfId="5" applyNumberFormat="1" applyFont="1" applyBorder="1" applyAlignment="1" applyProtection="1">
      <alignment vertical="center" wrapText="1"/>
      <protection locked="0"/>
    </xf>
    <xf numFmtId="1" fontId="48" fillId="0" borderId="1" xfId="0" applyNumberFormat="1" applyFont="1" applyBorder="1"/>
    <xf numFmtId="3" fontId="67" fillId="0" borderId="1" xfId="1" applyNumberFormat="1" applyFont="1" applyBorder="1" applyAlignment="1">
      <alignment vertical="center" wrapText="1"/>
    </xf>
    <xf numFmtId="49" fontId="48" fillId="33" borderId="4" xfId="6" applyNumberFormat="1" applyFont="1" applyFill="1" applyBorder="1" applyAlignment="1">
      <alignment horizontal="left" vertical="center" wrapText="1"/>
    </xf>
    <xf numFmtId="49" fontId="34" fillId="33" borderId="1" xfId="1467" applyNumberFormat="1" applyFont="1" applyFill="1" applyBorder="1" applyAlignment="1" applyProtection="1">
      <alignment horizontal="center" vertical="center" wrapText="1"/>
      <protection locked="0"/>
    </xf>
    <xf numFmtId="49" fontId="34" fillId="33" borderId="1" xfId="1467" applyNumberFormat="1" applyFont="1" applyFill="1" applyBorder="1" applyAlignment="1">
      <alignment horizontal="center" vertical="center" wrapText="1"/>
    </xf>
    <xf numFmtId="49" fontId="47" fillId="33" borderId="1" xfId="1" applyNumberFormat="1" applyFont="1" applyFill="1" applyBorder="1" applyAlignment="1">
      <alignment horizontal="center" vertical="center" wrapText="1"/>
    </xf>
    <xf numFmtId="49" fontId="48" fillId="33" borderId="1" xfId="6" applyNumberFormat="1" applyFont="1" applyFill="1" applyBorder="1" applyAlignment="1" applyProtection="1">
      <alignment horizontal="left" vertical="center" wrapText="1"/>
      <protection locked="0"/>
    </xf>
    <xf numFmtId="2" fontId="47" fillId="2" borderId="1" xfId="0" applyNumberFormat="1" applyFont="1" applyFill="1" applyBorder="1" applyAlignment="1" applyProtection="1">
      <alignment horizontal="right" vertical="center" wrapText="1"/>
      <protection locked="0"/>
    </xf>
    <xf numFmtId="3" fontId="49" fillId="28" borderId="1" xfId="6" applyNumberFormat="1" applyFont="1" applyFill="1" applyBorder="1" applyAlignment="1" applyProtection="1">
      <alignment horizontal="center" vertical="center"/>
      <protection locked="0"/>
    </xf>
    <xf numFmtId="2" fontId="48" fillId="0" borderId="1" xfId="0" applyNumberFormat="1" applyFont="1" applyBorder="1" applyAlignment="1" applyProtection="1">
      <alignment horizontal="right" vertical="center" wrapText="1"/>
      <protection locked="0"/>
    </xf>
    <xf numFmtId="49" fontId="34" fillId="33" borderId="1" xfId="1467" applyNumberFormat="1" applyFont="1" applyFill="1" applyBorder="1" applyAlignment="1" applyProtection="1">
      <alignment horizontal="left" vertical="center" wrapText="1"/>
      <protection locked="0"/>
    </xf>
    <xf numFmtId="49" fontId="34" fillId="33" borderId="1" xfId="1467" applyNumberFormat="1" applyFont="1" applyFill="1" applyBorder="1" applyAlignment="1">
      <alignment horizontal="left" vertical="center" wrapText="1"/>
    </xf>
    <xf numFmtId="0" fontId="48" fillId="0" borderId="1" xfId="0" applyFont="1" applyBorder="1" applyAlignment="1" applyProtection="1">
      <alignment vertical="center" wrapText="1"/>
      <protection locked="0"/>
    </xf>
    <xf numFmtId="0" fontId="47" fillId="0" borderId="0" xfId="0" applyFont="1" applyAlignment="1">
      <alignment vertical="center" wrapText="1"/>
    </xf>
    <xf numFmtId="0" fontId="47" fillId="0" borderId="0" xfId="0" applyFont="1" applyAlignment="1" applyProtection="1">
      <alignment vertical="center" wrapText="1"/>
      <protection locked="0"/>
    </xf>
    <xf numFmtId="49" fontId="34" fillId="33" borderId="1" xfId="1" applyNumberFormat="1" applyFont="1" applyFill="1" applyBorder="1" applyAlignment="1">
      <alignment horizontal="left" vertical="center" wrapText="1"/>
    </xf>
    <xf numFmtId="49" fontId="48" fillId="33" borderId="1" xfId="6" applyNumberFormat="1" applyFont="1" applyFill="1" applyBorder="1" applyAlignment="1">
      <alignment vertical="center" wrapText="1"/>
    </xf>
    <xf numFmtId="49" fontId="48" fillId="33" borderId="4" xfId="6" applyNumberFormat="1" applyFont="1" applyFill="1" applyBorder="1" applyAlignment="1">
      <alignment vertical="center" wrapText="1"/>
    </xf>
    <xf numFmtId="49" fontId="48" fillId="0" borderId="1" xfId="6" applyNumberFormat="1" applyFont="1" applyBorder="1" applyAlignment="1">
      <alignment vertical="center" wrapText="1"/>
    </xf>
    <xf numFmtId="49" fontId="48" fillId="28" borderId="1" xfId="6" applyNumberFormat="1" applyFont="1" applyFill="1" applyBorder="1" applyAlignment="1">
      <alignment vertical="center" wrapText="1"/>
    </xf>
    <xf numFmtId="49" fontId="48" fillId="32" borderId="1" xfId="6" applyNumberFormat="1" applyFont="1" applyFill="1" applyBorder="1" applyAlignment="1">
      <alignment vertical="center" wrapText="1"/>
    </xf>
    <xf numFmtId="0" fontId="47" fillId="0" borderId="1" xfId="6" applyFont="1" applyBorder="1" applyAlignment="1">
      <alignment horizontal="center" vertical="center" wrapText="1"/>
    </xf>
    <xf numFmtId="0" fontId="47" fillId="0" borderId="0" xfId="6" applyFont="1" applyAlignment="1">
      <alignment horizontal="center" vertical="center" wrapText="1"/>
    </xf>
    <xf numFmtId="49" fontId="47" fillId="0" borderId="0" xfId="6" applyNumberFormat="1" applyFont="1" applyAlignment="1">
      <alignment horizontal="left" vertical="center" wrapText="1"/>
    </xf>
    <xf numFmtId="3" fontId="47" fillId="0" borderId="0" xfId="6" applyNumberFormat="1" applyFont="1" applyAlignment="1" applyProtection="1">
      <alignment horizontal="right" vertical="center" wrapText="1"/>
      <protection locked="0"/>
    </xf>
    <xf numFmtId="3" fontId="47" fillId="0" borderId="1" xfId="6" applyNumberFormat="1" applyFont="1" applyBorder="1" applyAlignment="1">
      <alignment horizontal="right" vertical="center" wrapText="1"/>
    </xf>
    <xf numFmtId="0" fontId="67" fillId="31" borderId="1" xfId="1" applyFont="1" applyFill="1" applyBorder="1" applyAlignment="1">
      <alignment horizontal="center" vertical="center" wrapText="1"/>
    </xf>
    <xf numFmtId="0" fontId="48" fillId="0" borderId="1" xfId="1" applyFont="1" applyBorder="1" applyAlignment="1">
      <alignment vertical="center" wrapText="1"/>
    </xf>
    <xf numFmtId="1" fontId="66" fillId="0" borderId="1" xfId="0" applyNumberFormat="1" applyFont="1" applyBorder="1"/>
    <xf numFmtId="0" fontId="34" fillId="0" borderId="27" xfId="0" applyFont="1" applyBorder="1"/>
    <xf numFmtId="3" fontId="34" fillId="2" borderId="1" xfId="6" applyNumberFormat="1" applyFont="1" applyFill="1" applyBorder="1" applyAlignment="1">
      <alignment vertical="center" wrapText="1"/>
    </xf>
    <xf numFmtId="3" fontId="68" fillId="2" borderId="1" xfId="0" applyNumberFormat="1" applyFont="1" applyFill="1" applyBorder="1" applyAlignment="1" applyProtection="1">
      <alignment vertical="center" wrapText="1"/>
      <protection locked="0"/>
    </xf>
    <xf numFmtId="3" fontId="68" fillId="2" borderId="1" xfId="5" applyNumberFormat="1" applyFont="1" applyFill="1" applyBorder="1" applyAlignment="1" applyProtection="1">
      <alignment vertical="center" wrapText="1"/>
      <protection locked="0"/>
    </xf>
    <xf numFmtId="3" fontId="48" fillId="31" borderId="1" xfId="0" applyNumberFormat="1" applyFont="1" applyFill="1" applyBorder="1" applyAlignment="1" applyProtection="1">
      <alignment vertical="center" wrapText="1"/>
      <protection locked="0"/>
    </xf>
    <xf numFmtId="3" fontId="48" fillId="31" borderId="1" xfId="7" applyNumberFormat="1" applyFont="1" applyFill="1" applyBorder="1" applyAlignment="1" applyProtection="1">
      <alignment vertical="center" wrapText="1"/>
      <protection locked="0"/>
    </xf>
    <xf numFmtId="0" fontId="34" fillId="0" borderId="0" xfId="1" applyFont="1" applyAlignment="1">
      <alignment vertical="center" wrapText="1"/>
    </xf>
    <xf numFmtId="49" fontId="48" fillId="0" borderId="6" xfId="1" applyNumberFormat="1" applyFont="1" applyBorder="1" applyAlignment="1">
      <alignment horizontal="center" vertical="center" wrapText="1"/>
    </xf>
    <xf numFmtId="1" fontId="48" fillId="0" borderId="28" xfId="0" applyNumberFormat="1" applyFont="1" applyBorder="1"/>
    <xf numFmtId="3" fontId="48" fillId="0" borderId="6" xfId="1" applyNumberFormat="1" applyFont="1" applyBorder="1" applyAlignment="1">
      <alignment vertical="center" wrapText="1"/>
    </xf>
    <xf numFmtId="1" fontId="48" fillId="0" borderId="1" xfId="1" applyNumberFormat="1" applyFont="1" applyBorder="1" applyAlignment="1">
      <alignment vertical="center" wrapText="1"/>
    </xf>
    <xf numFmtId="3" fontId="58" fillId="30" borderId="1" xfId="0" applyNumberFormat="1" applyFont="1" applyFill="1" applyBorder="1" applyAlignment="1">
      <alignment horizontal="right" vertical="center"/>
    </xf>
    <xf numFmtId="3" fontId="52" fillId="0" borderId="1" xfId="0" applyNumberFormat="1" applyFont="1" applyBorder="1" applyAlignment="1">
      <alignment horizontal="center" vertical="center" wrapText="1"/>
    </xf>
    <xf numFmtId="3" fontId="52" fillId="0" borderId="4" xfId="0" applyNumberFormat="1" applyFont="1" applyBorder="1" applyAlignment="1">
      <alignment horizontal="center" vertical="center" wrapText="1"/>
    </xf>
    <xf numFmtId="3" fontId="52" fillId="0" borderId="7" xfId="0" applyNumberFormat="1" applyFont="1" applyBorder="1" applyAlignment="1">
      <alignment horizontal="center" vertical="center" wrapText="1"/>
    </xf>
    <xf numFmtId="3" fontId="52" fillId="0" borderId="6" xfId="0" applyNumberFormat="1" applyFont="1" applyBorder="1" applyAlignment="1">
      <alignment horizontal="center" vertical="center" wrapText="1"/>
    </xf>
    <xf numFmtId="3" fontId="52" fillId="0" borderId="4" xfId="0" applyNumberFormat="1" applyFont="1" applyBorder="1" applyAlignment="1" applyProtection="1">
      <alignment horizontal="center" vertical="center" wrapText="1"/>
      <protection locked="0"/>
    </xf>
    <xf numFmtId="3" fontId="52" fillId="0" borderId="7" xfId="0" applyNumberFormat="1" applyFont="1" applyBorder="1" applyAlignment="1" applyProtection="1">
      <alignment horizontal="center" vertical="center" wrapText="1"/>
      <protection locked="0"/>
    </xf>
    <xf numFmtId="3" fontId="52" fillId="0" borderId="6" xfId="0" applyNumberFormat="1" applyFont="1" applyBorder="1" applyAlignment="1" applyProtection="1">
      <alignment horizontal="center" vertical="center" wrapText="1"/>
      <protection locked="0"/>
    </xf>
    <xf numFmtId="3" fontId="49" fillId="2" borderId="4" xfId="0" applyNumberFormat="1" applyFont="1" applyFill="1" applyBorder="1" applyAlignment="1">
      <alignment horizontal="center" vertical="center" wrapText="1"/>
    </xf>
    <xf numFmtId="3" fontId="49" fillId="2" borderId="7" xfId="0" applyNumberFormat="1" applyFont="1" applyFill="1" applyBorder="1" applyAlignment="1">
      <alignment horizontal="center" vertical="center" wrapText="1"/>
    </xf>
    <xf numFmtId="3" fontId="49" fillId="2" borderId="6" xfId="0" applyNumberFormat="1" applyFont="1" applyFill="1" applyBorder="1" applyAlignment="1">
      <alignment horizontal="center" vertical="center" wrapText="1"/>
    </xf>
    <xf numFmtId="3" fontId="53" fillId="0" borderId="0" xfId="0" applyNumberFormat="1" applyFont="1" applyAlignment="1">
      <alignment horizontal="left" vertical="center"/>
    </xf>
    <xf numFmtId="3" fontId="49" fillId="0" borderId="4" xfId="0" applyNumberFormat="1" applyFont="1" applyBorder="1" applyAlignment="1">
      <alignment horizontal="center" vertical="center" wrapText="1"/>
    </xf>
    <xf numFmtId="3" fontId="49" fillId="0" borderId="7" xfId="0" applyNumberFormat="1" applyFont="1" applyBorder="1" applyAlignment="1">
      <alignment horizontal="center" vertical="center" wrapText="1"/>
    </xf>
    <xf numFmtId="3" fontId="49" fillId="0" borderId="6" xfId="0" applyNumberFormat="1" applyFont="1" applyBorder="1" applyAlignment="1">
      <alignment horizontal="center" vertical="center" wrapText="1"/>
    </xf>
    <xf numFmtId="3" fontId="48" fillId="0" borderId="0" xfId="0" applyNumberFormat="1" applyFont="1" applyAlignment="1">
      <alignment horizontal="left" vertical="top" wrapText="1"/>
    </xf>
    <xf numFmtId="3" fontId="48" fillId="0" borderId="0" xfId="0" applyNumberFormat="1" applyFont="1" applyAlignment="1">
      <alignment horizontal="left" vertical="center" wrapText="1"/>
    </xf>
    <xf numFmtId="3" fontId="48" fillId="0" borderId="0" xfId="0" applyNumberFormat="1" applyFont="1" applyAlignment="1">
      <alignment horizontal="left" vertical="center"/>
    </xf>
    <xf numFmtId="0" fontId="34" fillId="0" borderId="0" xfId="1467" applyFont="1" applyAlignment="1">
      <alignment horizontal="left" vertical="top" wrapText="1"/>
    </xf>
    <xf numFmtId="3" fontId="62" fillId="0" borderId="0" xfId="0" applyNumberFormat="1" applyFont="1" applyAlignment="1">
      <alignment horizontal="left" vertical="center"/>
    </xf>
    <xf numFmtId="0" fontId="34" fillId="0" borderId="0" xfId="1467" applyFont="1" applyAlignment="1">
      <alignment vertical="center" wrapText="1"/>
    </xf>
    <xf numFmtId="49" fontId="47" fillId="0" borderId="4" xfId="1" applyNumberFormat="1" applyFont="1" applyBorder="1" applyAlignment="1">
      <alignment horizontal="center" vertical="center"/>
    </xf>
    <xf numFmtId="49" fontId="47" fillId="0" borderId="7" xfId="1" applyNumberFormat="1" applyFont="1" applyBorder="1" applyAlignment="1">
      <alignment horizontal="center" vertical="center"/>
    </xf>
    <xf numFmtId="49" fontId="48" fillId="33" borderId="4" xfId="1" applyNumberFormat="1" applyFont="1" applyFill="1" applyBorder="1" applyAlignment="1">
      <alignment horizontal="center" vertical="center" wrapText="1"/>
    </xf>
    <xf numFmtId="49" fontId="48" fillId="33" borderId="7" xfId="1" applyNumberFormat="1" applyFont="1" applyFill="1" applyBorder="1" applyAlignment="1">
      <alignment horizontal="center" vertical="center" wrapText="1"/>
    </xf>
    <xf numFmtId="49" fontId="48" fillId="33" borderId="6" xfId="1" applyNumberFormat="1" applyFont="1" applyFill="1" applyBorder="1" applyAlignment="1">
      <alignment horizontal="center" vertical="center" wrapText="1"/>
    </xf>
    <xf numFmtId="49" fontId="47" fillId="0" borderId="6" xfId="1" applyNumberFormat="1" applyFont="1" applyBorder="1" applyAlignment="1">
      <alignment horizontal="center" vertical="center"/>
    </xf>
    <xf numFmtId="49" fontId="34" fillId="33" borderId="4" xfId="1" applyNumberFormat="1" applyFont="1" applyFill="1" applyBorder="1" applyAlignment="1">
      <alignment horizontal="center" vertical="center" wrapText="1"/>
    </xf>
    <xf numFmtId="49" fontId="47" fillId="33" borderId="7" xfId="1" applyNumberFormat="1" applyFont="1" applyFill="1" applyBorder="1" applyAlignment="1">
      <alignment horizontal="center" vertical="center" wrapText="1"/>
    </xf>
    <xf numFmtId="49" fontId="47" fillId="33" borderId="6" xfId="1" applyNumberFormat="1" applyFont="1" applyFill="1" applyBorder="1" applyAlignment="1">
      <alignment horizontal="center" vertical="center" wrapText="1"/>
    </xf>
    <xf numFmtId="49" fontId="48" fillId="33" borderId="4" xfId="1" applyNumberFormat="1" applyFont="1" applyFill="1" applyBorder="1" applyAlignment="1">
      <alignment horizontal="left" vertical="center" wrapText="1"/>
    </xf>
    <xf numFmtId="49" fontId="48" fillId="33" borderId="7" xfId="1" applyNumberFormat="1" applyFont="1" applyFill="1" applyBorder="1" applyAlignment="1">
      <alignment horizontal="left" vertical="center" wrapText="1"/>
    </xf>
    <xf numFmtId="49" fontId="48" fillId="33" borderId="6" xfId="1" applyNumberFormat="1" applyFont="1" applyFill="1" applyBorder="1" applyAlignment="1">
      <alignment horizontal="left" vertical="center" wrapText="1"/>
    </xf>
    <xf numFmtId="49" fontId="34" fillId="33" borderId="4" xfId="1" applyNumberFormat="1" applyFont="1" applyFill="1" applyBorder="1" applyAlignment="1">
      <alignment horizontal="left" vertical="center" wrapText="1"/>
    </xf>
    <xf numFmtId="49" fontId="34" fillId="33" borderId="7" xfId="1" applyNumberFormat="1" applyFont="1" applyFill="1" applyBorder="1" applyAlignment="1">
      <alignment horizontal="left" vertical="center" wrapText="1"/>
    </xf>
    <xf numFmtId="49" fontId="34" fillId="33" borderId="6" xfId="1" applyNumberFormat="1" applyFont="1" applyFill="1" applyBorder="1" applyAlignment="1">
      <alignment horizontal="left" vertical="center" wrapText="1"/>
    </xf>
    <xf numFmtId="49" fontId="47" fillId="33" borderId="7" xfId="1" applyNumberFormat="1" applyFont="1" applyFill="1" applyBorder="1" applyAlignment="1">
      <alignment horizontal="left" vertical="center" wrapText="1"/>
    </xf>
    <xf numFmtId="49" fontId="47" fillId="33" borderId="6" xfId="1" applyNumberFormat="1" applyFont="1" applyFill="1" applyBorder="1" applyAlignment="1">
      <alignment horizontal="left" vertical="center" wrapText="1"/>
    </xf>
    <xf numFmtId="49" fontId="48" fillId="0" borderId="4" xfId="1" applyNumberFormat="1" applyFont="1" applyBorder="1" applyAlignment="1">
      <alignment horizontal="left" vertical="center" wrapText="1"/>
    </xf>
    <xf numFmtId="49" fontId="48" fillId="0" borderId="7" xfId="1" applyNumberFormat="1" applyFont="1" applyBorder="1" applyAlignment="1">
      <alignment horizontal="left" vertical="center" wrapText="1"/>
    </xf>
    <xf numFmtId="49" fontId="48" fillId="0" borderId="6" xfId="1" applyNumberFormat="1" applyFont="1" applyBorder="1" applyAlignment="1">
      <alignment horizontal="left" vertical="center" wrapText="1"/>
    </xf>
    <xf numFmtId="0" fontId="48" fillId="0" borderId="0" xfId="1467" applyFont="1" applyAlignment="1">
      <alignment horizontal="left" vertical="top" wrapText="1"/>
    </xf>
    <xf numFmtId="0" fontId="48" fillId="2" borderId="5" xfId="1" applyFont="1" applyFill="1" applyBorder="1" applyAlignment="1" applyProtection="1">
      <alignment horizontal="center" vertical="center"/>
      <protection locked="0"/>
    </xf>
    <xf numFmtId="0" fontId="48" fillId="2" borderId="12" xfId="1" applyFont="1" applyFill="1" applyBorder="1" applyAlignment="1" applyProtection="1">
      <alignment horizontal="center" vertical="center"/>
      <protection locked="0"/>
    </xf>
    <xf numFmtId="49" fontId="48" fillId="0" borderId="4" xfId="1" applyNumberFormat="1" applyFont="1" applyBorder="1" applyAlignment="1">
      <alignment horizontal="center" vertical="center"/>
    </xf>
    <xf numFmtId="49" fontId="48" fillId="0" borderId="7" xfId="1" applyNumberFormat="1" applyFont="1" applyBorder="1" applyAlignment="1">
      <alignment horizontal="center" vertical="center"/>
    </xf>
    <xf numFmtId="49" fontId="48" fillId="0" borderId="6" xfId="1" applyNumberFormat="1" applyFont="1" applyBorder="1" applyAlignment="1">
      <alignment horizontal="center" vertical="center"/>
    </xf>
    <xf numFmtId="49" fontId="34" fillId="33" borderId="7" xfId="1" applyNumberFormat="1" applyFont="1" applyFill="1" applyBorder="1" applyAlignment="1">
      <alignment horizontal="center" vertical="center" wrapText="1"/>
    </xf>
    <xf numFmtId="49" fontId="34" fillId="33" borderId="6" xfId="1" applyNumberFormat="1" applyFont="1" applyFill="1" applyBorder="1" applyAlignment="1">
      <alignment horizontal="center" vertical="center" wrapText="1"/>
    </xf>
    <xf numFmtId="49" fontId="48" fillId="33" borderId="4" xfId="6" applyNumberFormat="1" applyFont="1" applyFill="1" applyBorder="1" applyAlignment="1">
      <alignment horizontal="center" vertical="center" wrapText="1"/>
    </xf>
    <xf numFmtId="49" fontId="48" fillId="33" borderId="7" xfId="6" applyNumberFormat="1" applyFont="1" applyFill="1" applyBorder="1" applyAlignment="1">
      <alignment horizontal="center" vertical="center" wrapText="1"/>
    </xf>
    <xf numFmtId="49" fontId="48" fillId="33" borderId="6" xfId="6" applyNumberFormat="1" applyFont="1" applyFill="1" applyBorder="1" applyAlignment="1">
      <alignment horizontal="center" vertical="center" wrapText="1"/>
    </xf>
    <xf numFmtId="49" fontId="48" fillId="33" borderId="4" xfId="6" applyNumberFormat="1" applyFont="1" applyFill="1" applyBorder="1" applyAlignment="1">
      <alignment horizontal="left" vertical="center" wrapText="1"/>
    </xf>
    <xf numFmtId="49" fontId="48" fillId="33" borderId="7" xfId="6" applyNumberFormat="1" applyFont="1" applyFill="1" applyBorder="1" applyAlignment="1">
      <alignment horizontal="left" vertical="center" wrapText="1"/>
    </xf>
    <xf numFmtId="49" fontId="48" fillId="33" borderId="6" xfId="6" applyNumberFormat="1" applyFont="1" applyFill="1" applyBorder="1" applyAlignment="1">
      <alignment horizontal="left" vertical="center" wrapText="1"/>
    </xf>
    <xf numFmtId="16" fontId="47" fillId="31" borderId="12" xfId="6" applyNumberFormat="1" applyFont="1" applyFill="1" applyBorder="1" applyAlignment="1">
      <alignment horizontal="left" vertical="center" wrapText="1"/>
    </xf>
    <xf numFmtId="49" fontId="47" fillId="0" borderId="4" xfId="6" applyNumberFormat="1" applyFont="1" applyBorder="1" applyAlignment="1">
      <alignment horizontal="center" vertical="center" wrapText="1"/>
    </xf>
    <xf numFmtId="49" fontId="47" fillId="0" borderId="7" xfId="6" applyNumberFormat="1" applyFont="1" applyBorder="1" applyAlignment="1">
      <alignment horizontal="center" vertical="center" wrapText="1"/>
    </xf>
    <xf numFmtId="49" fontId="47" fillId="0" borderId="6" xfId="6" applyNumberFormat="1" applyFont="1" applyBorder="1" applyAlignment="1">
      <alignment horizontal="center" vertical="center" wrapText="1"/>
    </xf>
    <xf numFmtId="49" fontId="47" fillId="0" borderId="4" xfId="6" applyNumberFormat="1" applyFont="1" applyBorder="1" applyAlignment="1">
      <alignment horizontal="center" vertical="center"/>
    </xf>
    <xf numFmtId="49" fontId="47" fillId="0" borderId="7" xfId="6" applyNumberFormat="1" applyFont="1" applyBorder="1" applyAlignment="1">
      <alignment horizontal="center" vertical="center"/>
    </xf>
    <xf numFmtId="49" fontId="47" fillId="0" borderId="6" xfId="6" applyNumberFormat="1" applyFont="1" applyBorder="1" applyAlignment="1">
      <alignment horizontal="center" vertical="center"/>
    </xf>
    <xf numFmtId="0" fontId="48" fillId="0" borderId="0" xfId="0" applyFont="1" applyAlignment="1">
      <alignment horizontal="left" vertical="center" wrapText="1"/>
    </xf>
    <xf numFmtId="0" fontId="48" fillId="0" borderId="0" xfId="0" applyFont="1" applyAlignment="1">
      <alignment horizontal="left" vertical="top"/>
    </xf>
    <xf numFmtId="49" fontId="34" fillId="33" borderId="4" xfId="6" applyNumberFormat="1" applyFont="1" applyFill="1" applyBorder="1" applyAlignment="1">
      <alignment horizontal="left" vertical="center" wrapText="1"/>
    </xf>
    <xf numFmtId="49" fontId="34" fillId="33" borderId="7" xfId="6" applyNumberFormat="1" applyFont="1" applyFill="1" applyBorder="1" applyAlignment="1">
      <alignment horizontal="left" vertical="center" wrapText="1"/>
    </xf>
    <xf numFmtId="49" fontId="47" fillId="33" borderId="7" xfId="6" applyNumberFormat="1" applyFont="1" applyFill="1" applyBorder="1" applyAlignment="1">
      <alignment horizontal="left" vertical="center" wrapText="1"/>
    </xf>
    <xf numFmtId="49" fontId="34" fillId="33" borderId="6" xfId="6" applyNumberFormat="1" applyFont="1" applyFill="1" applyBorder="1" applyAlignment="1">
      <alignment horizontal="left" vertical="center" wrapText="1"/>
    </xf>
    <xf numFmtId="49" fontId="48" fillId="0" borderId="0" xfId="1" applyNumberFormat="1" applyFont="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8050000}"/>
    <cellStyle name="Percent 2 2" xfId="1394" xr:uid="{00000000-0005-0000-0000-000079050000}"/>
    <cellStyle name="Percent 3" xfId="1395" xr:uid="{00000000-0005-0000-0000-00007A050000}"/>
    <cellStyle name="Percent 4" xfId="1396" xr:uid="{00000000-0005-0000-0000-00007B050000}"/>
    <cellStyle name="Percent 5" xfId="1397" xr:uid="{00000000-0005-0000-0000-00007C050000}"/>
    <cellStyle name="Percent 6" xfId="1398" xr:uid="{00000000-0005-0000-0000-00007D050000}"/>
    <cellStyle name="Percent 6 2" xfId="1399" xr:uid="{00000000-0005-0000-0000-00007E050000}"/>
    <cellStyle name="Procenti" xfId="12" builtinId="5"/>
    <cellStyle name="Title 10" xfId="1400" xr:uid="{00000000-0005-0000-0000-00007F050000}"/>
    <cellStyle name="Title 11" xfId="1401" xr:uid="{00000000-0005-0000-0000-000080050000}"/>
    <cellStyle name="Title 12" xfId="1402" xr:uid="{00000000-0005-0000-0000-000081050000}"/>
    <cellStyle name="Title 13" xfId="1403" xr:uid="{00000000-0005-0000-0000-000082050000}"/>
    <cellStyle name="Title 14" xfId="1404" xr:uid="{00000000-0005-0000-0000-000083050000}"/>
    <cellStyle name="Title 15" xfId="1405" xr:uid="{00000000-0005-0000-0000-000084050000}"/>
    <cellStyle name="Title 16" xfId="1406" xr:uid="{00000000-0005-0000-0000-000085050000}"/>
    <cellStyle name="Title 2" xfId="1407" xr:uid="{00000000-0005-0000-0000-000086050000}"/>
    <cellStyle name="Title 3" xfId="1408" xr:uid="{00000000-0005-0000-0000-000087050000}"/>
    <cellStyle name="Title 4" xfId="1409" xr:uid="{00000000-0005-0000-0000-000088050000}"/>
    <cellStyle name="Title 5" xfId="1410" xr:uid="{00000000-0005-0000-0000-000089050000}"/>
    <cellStyle name="Title 6" xfId="1411" xr:uid="{00000000-0005-0000-0000-00008A050000}"/>
    <cellStyle name="Title 7" xfId="1412" xr:uid="{00000000-0005-0000-0000-00008B050000}"/>
    <cellStyle name="Title 8" xfId="1413" xr:uid="{00000000-0005-0000-0000-00008C050000}"/>
    <cellStyle name="Title 9" xfId="1414" xr:uid="{00000000-0005-0000-0000-00008D050000}"/>
    <cellStyle name="Total 10" xfId="1415" xr:uid="{00000000-0005-0000-0000-00008E050000}"/>
    <cellStyle name="Total 10 2" xfId="1416" xr:uid="{00000000-0005-0000-0000-00008F050000}"/>
    <cellStyle name="Total 11" xfId="1417" xr:uid="{00000000-0005-0000-0000-000090050000}"/>
    <cellStyle name="Total 11 2" xfId="1418" xr:uid="{00000000-0005-0000-0000-000091050000}"/>
    <cellStyle name="Total 12" xfId="1419" xr:uid="{00000000-0005-0000-0000-000092050000}"/>
    <cellStyle name="Total 12 2" xfId="1420" xr:uid="{00000000-0005-0000-0000-000093050000}"/>
    <cellStyle name="Total 13" xfId="1421" xr:uid="{00000000-0005-0000-0000-000094050000}"/>
    <cellStyle name="Total 13 2" xfId="1422" xr:uid="{00000000-0005-0000-0000-000095050000}"/>
    <cellStyle name="Total 14" xfId="1423" xr:uid="{00000000-0005-0000-0000-000096050000}"/>
    <cellStyle name="Total 14 2" xfId="1424" xr:uid="{00000000-0005-0000-0000-000097050000}"/>
    <cellStyle name="Total 15" xfId="1425" xr:uid="{00000000-0005-0000-0000-000098050000}"/>
    <cellStyle name="Total 15 2" xfId="1426" xr:uid="{00000000-0005-0000-0000-000099050000}"/>
    <cellStyle name="Total 16" xfId="1427" xr:uid="{00000000-0005-0000-0000-00009A050000}"/>
    <cellStyle name="Total 2" xfId="1428" xr:uid="{00000000-0005-0000-0000-00009B050000}"/>
    <cellStyle name="Total 2 2" xfId="1429" xr:uid="{00000000-0005-0000-0000-00009C050000}"/>
    <cellStyle name="Total 3" xfId="1430" xr:uid="{00000000-0005-0000-0000-00009D050000}"/>
    <cellStyle name="Total 3 2" xfId="1431" xr:uid="{00000000-0005-0000-0000-00009E050000}"/>
    <cellStyle name="Total 4" xfId="1432" xr:uid="{00000000-0005-0000-0000-00009F050000}"/>
    <cellStyle name="Total 4 2" xfId="1433" xr:uid="{00000000-0005-0000-0000-0000A0050000}"/>
    <cellStyle name="Total 5" xfId="1434" xr:uid="{00000000-0005-0000-0000-0000A1050000}"/>
    <cellStyle name="Total 5 2" xfId="1435" xr:uid="{00000000-0005-0000-0000-0000A2050000}"/>
    <cellStyle name="Total 6" xfId="1436" xr:uid="{00000000-0005-0000-0000-0000A3050000}"/>
    <cellStyle name="Total 6 2" xfId="1437" xr:uid="{00000000-0005-0000-0000-0000A4050000}"/>
    <cellStyle name="Total 7" xfId="1438" xr:uid="{00000000-0005-0000-0000-0000A5050000}"/>
    <cellStyle name="Total 7 2" xfId="1439" xr:uid="{00000000-0005-0000-0000-0000A6050000}"/>
    <cellStyle name="Total 8" xfId="1440" xr:uid="{00000000-0005-0000-0000-0000A7050000}"/>
    <cellStyle name="Total 8 2" xfId="1441" xr:uid="{00000000-0005-0000-0000-0000A8050000}"/>
    <cellStyle name="Total 9" xfId="1442" xr:uid="{00000000-0005-0000-0000-0000A9050000}"/>
    <cellStyle name="Total 9 2" xfId="1443" xr:uid="{00000000-0005-0000-0000-0000AA050000}"/>
    <cellStyle name="Warning Text 10" xfId="1444" xr:uid="{00000000-0005-0000-0000-0000AB050000}"/>
    <cellStyle name="Warning Text 11" xfId="1445" xr:uid="{00000000-0005-0000-0000-0000AC050000}"/>
    <cellStyle name="Warning Text 12" xfId="1446" xr:uid="{00000000-0005-0000-0000-0000AD050000}"/>
    <cellStyle name="Warning Text 13" xfId="1447" xr:uid="{00000000-0005-0000-0000-0000AE050000}"/>
    <cellStyle name="Warning Text 14" xfId="1448" xr:uid="{00000000-0005-0000-0000-0000AF050000}"/>
    <cellStyle name="Warning Text 15" xfId="1449" xr:uid="{00000000-0005-0000-0000-0000B0050000}"/>
    <cellStyle name="Warning Text 16" xfId="1450" xr:uid="{00000000-0005-0000-0000-0000B1050000}"/>
    <cellStyle name="Warning Text 2" xfId="1451" xr:uid="{00000000-0005-0000-0000-0000B2050000}"/>
    <cellStyle name="Warning Text 3" xfId="1452" xr:uid="{00000000-0005-0000-0000-0000B3050000}"/>
    <cellStyle name="Warning Text 4" xfId="1453" xr:uid="{00000000-0005-0000-0000-0000B4050000}"/>
    <cellStyle name="Warning Text 5" xfId="1454" xr:uid="{00000000-0005-0000-0000-0000B5050000}"/>
    <cellStyle name="Warning Text 6" xfId="1455" xr:uid="{00000000-0005-0000-0000-0000B6050000}"/>
    <cellStyle name="Warning Text 7" xfId="1456" xr:uid="{00000000-0005-0000-0000-0000B7050000}"/>
    <cellStyle name="Warning Text 8" xfId="1457" xr:uid="{00000000-0005-0000-0000-0000B8050000}"/>
    <cellStyle name="Warning Text 9" xfId="1458" xr:uid="{00000000-0005-0000-0000-0000B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180"/>
  <sheetViews>
    <sheetView view="pageBreakPreview" topLeftCell="A161" zoomScale="90" zoomScaleNormal="10" zoomScaleSheetLayoutView="90" workbookViewId="0">
      <selection activeCell="C173" sqref="C3:C173"/>
    </sheetView>
  </sheetViews>
  <sheetFormatPr defaultColWidth="9.140625" defaultRowHeight="18.75" outlineLevelCol="1" x14ac:dyDescent="0.2"/>
  <cols>
    <col min="1" max="1" width="7.85546875" style="1" bestFit="1" customWidth="1"/>
    <col min="2" max="3" width="49.42578125" style="1" customWidth="1"/>
    <col min="4" max="4" width="49.42578125" style="5" customWidth="1"/>
    <col min="5" max="5" width="19.42578125" style="5" customWidth="1"/>
    <col min="6" max="6" width="19.85546875" style="5" customWidth="1" outlineLevel="1"/>
    <col min="7" max="8" width="24.42578125" style="5" customWidth="1" outlineLevel="1"/>
    <col min="9" max="9" width="78.140625" style="5" customWidth="1" outlineLevel="1"/>
    <col min="10" max="10" width="19.85546875" style="5" customWidth="1"/>
    <col min="11" max="11" width="19.85546875" style="5" customWidth="1" outlineLevel="1"/>
    <col min="12" max="13" width="24.42578125" style="5" customWidth="1" outlineLevel="1"/>
    <col min="14" max="14" width="78.140625" style="5" customWidth="1" outlineLevel="1"/>
    <col min="15" max="15" width="19.85546875" style="5" customWidth="1"/>
    <col min="16" max="16" width="19.85546875" style="5" customWidth="1" outlineLevel="1"/>
    <col min="17" max="18" width="24.42578125" style="5" customWidth="1" outlineLevel="1"/>
    <col min="19" max="19" width="78.140625" style="5" customWidth="1" outlineLevel="1"/>
    <col min="20" max="20" width="19.85546875" style="5" customWidth="1"/>
    <col min="21" max="21" width="19.85546875" style="5" customWidth="1" outlineLevel="1"/>
    <col min="22" max="23" width="24.42578125" style="5" customWidth="1" outlineLevel="1"/>
    <col min="24" max="24" width="78.140625" style="5" customWidth="1" outlineLevel="1"/>
    <col min="25" max="25" width="12.7109375" style="1" customWidth="1"/>
    <col min="26" max="16384" width="9.140625" style="1"/>
  </cols>
  <sheetData>
    <row r="1" spans="1:25" ht="63" x14ac:dyDescent="0.2">
      <c r="A1" s="34" t="s">
        <v>0</v>
      </c>
      <c r="B1" s="25" t="s">
        <v>512</v>
      </c>
      <c r="C1" s="25" t="s">
        <v>763</v>
      </c>
      <c r="D1" s="25" t="s">
        <v>764</v>
      </c>
      <c r="E1" s="25" t="s">
        <v>765</v>
      </c>
      <c r="F1" s="25" t="s">
        <v>766</v>
      </c>
      <c r="G1" s="26" t="s">
        <v>767</v>
      </c>
      <c r="H1" s="27" t="s">
        <v>768</v>
      </c>
      <c r="I1" s="25" t="s">
        <v>442</v>
      </c>
      <c r="J1" s="25" t="s">
        <v>769</v>
      </c>
      <c r="K1" s="25" t="s">
        <v>770</v>
      </c>
      <c r="L1" s="26" t="s">
        <v>767</v>
      </c>
      <c r="M1" s="27" t="s">
        <v>768</v>
      </c>
      <c r="N1" s="25" t="s">
        <v>442</v>
      </c>
      <c r="O1" s="25" t="s">
        <v>771</v>
      </c>
      <c r="P1" s="25" t="s">
        <v>772</v>
      </c>
      <c r="Q1" s="26" t="s">
        <v>767</v>
      </c>
      <c r="R1" s="27" t="s">
        <v>768</v>
      </c>
      <c r="S1" s="25" t="s">
        <v>442</v>
      </c>
      <c r="T1" s="25" t="s">
        <v>773</v>
      </c>
      <c r="U1" s="25" t="s">
        <v>774</v>
      </c>
      <c r="V1" s="26" t="s">
        <v>767</v>
      </c>
      <c r="W1" s="27" t="s">
        <v>768</v>
      </c>
      <c r="X1" s="25" t="s">
        <v>442</v>
      </c>
    </row>
    <row r="2" spans="1:25" ht="12" customHeight="1" x14ac:dyDescent="0.2">
      <c r="A2" s="34">
        <v>1</v>
      </c>
      <c r="B2" s="25">
        <v>2</v>
      </c>
      <c r="C2" s="34">
        <v>3</v>
      </c>
      <c r="D2" s="25">
        <v>4</v>
      </c>
      <c r="E2" s="34">
        <v>5</v>
      </c>
      <c r="F2" s="25">
        <v>6</v>
      </c>
      <c r="G2" s="34">
        <v>7</v>
      </c>
      <c r="H2" s="25">
        <v>8</v>
      </c>
      <c r="I2" s="34">
        <v>9</v>
      </c>
      <c r="J2" s="25">
        <v>10</v>
      </c>
      <c r="K2" s="34">
        <v>11</v>
      </c>
      <c r="L2" s="25">
        <v>12</v>
      </c>
      <c r="M2" s="34">
        <v>13</v>
      </c>
      <c r="N2" s="25">
        <v>14</v>
      </c>
      <c r="O2" s="34">
        <v>15</v>
      </c>
      <c r="P2" s="25">
        <v>16</v>
      </c>
      <c r="Q2" s="34">
        <v>17</v>
      </c>
      <c r="R2" s="25">
        <v>18</v>
      </c>
      <c r="S2" s="34">
        <v>19</v>
      </c>
      <c r="T2" s="25">
        <v>20</v>
      </c>
      <c r="U2" s="34">
        <v>21</v>
      </c>
      <c r="V2" s="25">
        <v>22</v>
      </c>
      <c r="W2" s="34">
        <v>23</v>
      </c>
      <c r="X2" s="25">
        <v>24</v>
      </c>
    </row>
    <row r="3" spans="1:25" ht="31.5" x14ac:dyDescent="0.2">
      <c r="A3" s="301" t="s">
        <v>1</v>
      </c>
      <c r="B3" s="302" t="s">
        <v>2</v>
      </c>
      <c r="C3" s="303">
        <f>C4+C19+C22+C27+C28+C29+C30+C31</f>
        <v>26817431</v>
      </c>
      <c r="D3" s="367">
        <v>29152250.609999992</v>
      </c>
      <c r="E3" s="367">
        <v>6689665.6899999995</v>
      </c>
      <c r="F3" s="303">
        <f>F4+F19+F22+F27+F28+F29+F30+F31</f>
        <v>0</v>
      </c>
      <c r="G3" s="304">
        <f>F3-E3</f>
        <v>-6689665.6899999995</v>
      </c>
      <c r="H3" s="305">
        <f>IFERROR(G3/ABS(E3), "-")</f>
        <v>-1</v>
      </c>
      <c r="I3" s="306"/>
      <c r="J3" s="367">
        <v>13464179.039999999</v>
      </c>
      <c r="K3" s="303">
        <f>K4+K19+K22+K27+K28+K29+K30+K31</f>
        <v>0</v>
      </c>
      <c r="L3" s="304">
        <f>K3-J3</f>
        <v>-13464179.039999999</v>
      </c>
      <c r="M3" s="305">
        <f>IFERROR(L3/ABS(J3), "-")</f>
        <v>-1</v>
      </c>
      <c r="N3" s="306"/>
      <c r="O3" s="367">
        <v>20809959.149999995</v>
      </c>
      <c r="P3" s="303">
        <f>P4+P19+P22+P27+P28+P29+P30+P31</f>
        <v>0</v>
      </c>
      <c r="Q3" s="304">
        <f>P3-O3</f>
        <v>-20809959.149999995</v>
      </c>
      <c r="R3" s="305">
        <f>IFERROR(Q3/ABS(O3), "-")</f>
        <v>-1</v>
      </c>
      <c r="S3" s="306"/>
      <c r="T3" s="303">
        <v>29152250.609999992</v>
      </c>
      <c r="U3" s="303">
        <f>U4+U19+U22+U27+U28+U29+U30+U31</f>
        <v>0</v>
      </c>
      <c r="V3" s="304">
        <f>U3-T3</f>
        <v>-29152250.609999992</v>
      </c>
      <c r="W3" s="305">
        <f>IFERROR(V3/ABS(T3), "-")</f>
        <v>-1</v>
      </c>
      <c r="X3" s="306"/>
    </row>
    <row r="4" spans="1:25" s="2" customFormat="1" ht="17.100000000000001" customHeight="1" x14ac:dyDescent="0.2">
      <c r="A4" s="294" t="s">
        <v>94</v>
      </c>
      <c r="B4" s="283" t="s">
        <v>3</v>
      </c>
      <c r="C4" s="274">
        <f>C5+C10+C13+C16</f>
        <v>23875828.960000001</v>
      </c>
      <c r="D4" s="368">
        <v>26263211.680000003</v>
      </c>
      <c r="E4" s="368">
        <v>5917018.8399999999</v>
      </c>
      <c r="F4" s="274">
        <f>F5+F10+F13+F16</f>
        <v>0</v>
      </c>
      <c r="G4" s="275">
        <f t="shared" ref="G4:G67" si="0">F4-E4</f>
        <v>-5917018.8399999999</v>
      </c>
      <c r="H4" s="276">
        <f t="shared" ref="H4:H67" si="1">IFERROR(G4/ABS(E4), "-")</f>
        <v>-1</v>
      </c>
      <c r="I4" s="277"/>
      <c r="J4" s="368">
        <v>11986423.120000001</v>
      </c>
      <c r="K4" s="274">
        <f>K5+K10+K13+K16</f>
        <v>0</v>
      </c>
      <c r="L4" s="275">
        <f t="shared" ref="L4:L69" si="2">K4-J4</f>
        <v>-11986423.120000001</v>
      </c>
      <c r="M4" s="276">
        <f t="shared" ref="M4:M69" si="3">IFERROR(L4/ABS(J4), "-")</f>
        <v>-1</v>
      </c>
      <c r="N4" s="277"/>
      <c r="O4" s="368">
        <v>18622717.950000003</v>
      </c>
      <c r="P4" s="274">
        <f>P5+P10+P13+P16</f>
        <v>0</v>
      </c>
      <c r="Q4" s="275">
        <f t="shared" ref="Q4:Q69" si="4">P4-O4</f>
        <v>-18622717.950000003</v>
      </c>
      <c r="R4" s="276">
        <f t="shared" ref="R4:R69" si="5">IFERROR(Q4/ABS(O4), "-")</f>
        <v>-1</v>
      </c>
      <c r="S4" s="277"/>
      <c r="T4" s="274">
        <v>26263211.680000003</v>
      </c>
      <c r="U4" s="274">
        <f>U5+U10+U13+U16</f>
        <v>0</v>
      </c>
      <c r="V4" s="275">
        <f t="shared" ref="V4:V69" si="6">U4-T4</f>
        <v>-26263211.680000003</v>
      </c>
      <c r="W4" s="276">
        <f t="shared" ref="W4:W69" si="7">IFERROR(V4/ABS(T4), "-")</f>
        <v>-1</v>
      </c>
      <c r="X4" s="277"/>
      <c r="Y4" s="1"/>
    </row>
    <row r="5" spans="1:25" s="2" customFormat="1" ht="17.100000000000001" customHeight="1" x14ac:dyDescent="0.2">
      <c r="A5" s="175" t="s">
        <v>95</v>
      </c>
      <c r="B5" s="176" t="s">
        <v>96</v>
      </c>
      <c r="C5" s="172">
        <f t="shared" ref="C5" si="8">SUM(C6:C9)</f>
        <v>22781880.650000002</v>
      </c>
      <c r="D5" s="369">
        <v>24897434.82</v>
      </c>
      <c r="E5" s="369">
        <v>5588456.8200000003</v>
      </c>
      <c r="F5" s="172">
        <f>SUM(F6:F9)</f>
        <v>0</v>
      </c>
      <c r="G5" s="173">
        <f t="shared" si="0"/>
        <v>-5588456.8200000003</v>
      </c>
      <c r="H5" s="174">
        <f t="shared" si="1"/>
        <v>-1</v>
      </c>
      <c r="I5" s="587"/>
      <c r="J5" s="369">
        <v>11314871.82</v>
      </c>
      <c r="K5" s="172">
        <f>SUM(K6:K9)</f>
        <v>0</v>
      </c>
      <c r="L5" s="173">
        <f t="shared" si="2"/>
        <v>-11314871.82</v>
      </c>
      <c r="M5" s="174">
        <f t="shared" si="3"/>
        <v>-1</v>
      </c>
      <c r="N5" s="587"/>
      <c r="O5" s="369">
        <v>17597628.82</v>
      </c>
      <c r="P5" s="172">
        <f>SUM(P6:P9)</f>
        <v>0</v>
      </c>
      <c r="Q5" s="173">
        <f t="shared" si="4"/>
        <v>-17597628.82</v>
      </c>
      <c r="R5" s="174">
        <f t="shared" si="5"/>
        <v>-1</v>
      </c>
      <c r="S5" s="587"/>
      <c r="T5" s="172">
        <v>24897434.82</v>
      </c>
      <c r="U5" s="172">
        <f>SUM(U6:U9)</f>
        <v>0</v>
      </c>
      <c r="V5" s="173">
        <f t="shared" si="6"/>
        <v>-24897434.82</v>
      </c>
      <c r="W5" s="174">
        <f t="shared" si="7"/>
        <v>-1</v>
      </c>
      <c r="X5" s="587"/>
      <c r="Y5" s="1"/>
    </row>
    <row r="6" spans="1:25" ht="17.100000000000001" customHeight="1" x14ac:dyDescent="0.2">
      <c r="A6" s="280" t="s">
        <v>97</v>
      </c>
      <c r="B6" s="76" t="s">
        <v>501</v>
      </c>
      <c r="C6" s="139">
        <v>21045288.420000002</v>
      </c>
      <c r="D6" s="370">
        <v>23205715.82</v>
      </c>
      <c r="E6" s="370">
        <v>5193726.82</v>
      </c>
      <c r="F6" s="139"/>
      <c r="G6" s="140">
        <f>F6-E6</f>
        <v>-5193726.82</v>
      </c>
      <c r="H6" s="141">
        <f>IFERROR(G6/ABS(E6), "-")</f>
        <v>-1</v>
      </c>
      <c r="I6" s="588"/>
      <c r="J6" s="370">
        <v>10521459.82</v>
      </c>
      <c r="K6" s="139"/>
      <c r="L6" s="140">
        <f t="shared" si="2"/>
        <v>-10521459.82</v>
      </c>
      <c r="M6" s="141">
        <f t="shared" si="3"/>
        <v>-1</v>
      </c>
      <c r="N6" s="588"/>
      <c r="O6" s="370">
        <v>16318477.82</v>
      </c>
      <c r="P6" s="139"/>
      <c r="Q6" s="140">
        <f t="shared" si="4"/>
        <v>-16318477.82</v>
      </c>
      <c r="R6" s="141">
        <f t="shared" si="5"/>
        <v>-1</v>
      </c>
      <c r="S6" s="588"/>
      <c r="T6" s="139">
        <v>23205715.82</v>
      </c>
      <c r="U6" s="139"/>
      <c r="V6" s="140">
        <f t="shared" si="6"/>
        <v>-23205715.82</v>
      </c>
      <c r="W6" s="141">
        <f t="shared" si="7"/>
        <v>-1</v>
      </c>
      <c r="X6" s="588"/>
    </row>
    <row r="7" spans="1:25" ht="31.5" x14ac:dyDescent="0.2">
      <c r="A7" s="280" t="s">
        <v>98</v>
      </c>
      <c r="B7" s="76" t="s">
        <v>500</v>
      </c>
      <c r="C7" s="139">
        <v>161798</v>
      </c>
      <c r="D7" s="370">
        <v>154426</v>
      </c>
      <c r="E7" s="370">
        <v>37903</v>
      </c>
      <c r="F7" s="139"/>
      <c r="G7" s="140">
        <f t="shared" si="0"/>
        <v>-37903</v>
      </c>
      <c r="H7" s="141">
        <f t="shared" si="1"/>
        <v>-1</v>
      </c>
      <c r="I7" s="588"/>
      <c r="J7" s="370">
        <v>70977</v>
      </c>
      <c r="K7" s="139"/>
      <c r="L7" s="140">
        <f t="shared" si="2"/>
        <v>-70977</v>
      </c>
      <c r="M7" s="141">
        <f t="shared" si="3"/>
        <v>-1</v>
      </c>
      <c r="N7" s="588"/>
      <c r="O7" s="370">
        <v>112946</v>
      </c>
      <c r="P7" s="139"/>
      <c r="Q7" s="140">
        <f t="shared" si="4"/>
        <v>-112946</v>
      </c>
      <c r="R7" s="141">
        <f t="shared" si="5"/>
        <v>-1</v>
      </c>
      <c r="S7" s="588"/>
      <c r="T7" s="139">
        <v>154426</v>
      </c>
      <c r="U7" s="139"/>
      <c r="V7" s="140">
        <f t="shared" si="6"/>
        <v>-154426</v>
      </c>
      <c r="W7" s="141">
        <f t="shared" si="7"/>
        <v>-1</v>
      </c>
      <c r="X7" s="588"/>
    </row>
    <row r="8" spans="1:25" x14ac:dyDescent="0.2">
      <c r="A8" s="280" t="s">
        <v>99</v>
      </c>
      <c r="B8" s="76" t="s">
        <v>499</v>
      </c>
      <c r="C8" s="139">
        <v>1530276.23</v>
      </c>
      <c r="D8" s="370">
        <v>1495434</v>
      </c>
      <c r="E8" s="370">
        <v>350194</v>
      </c>
      <c r="F8" s="139"/>
      <c r="G8" s="140">
        <f t="shared" si="0"/>
        <v>-350194</v>
      </c>
      <c r="H8" s="141">
        <f t="shared" si="1"/>
        <v>-1</v>
      </c>
      <c r="I8" s="588"/>
      <c r="J8" s="370">
        <v>704239</v>
      </c>
      <c r="K8" s="139"/>
      <c r="L8" s="140">
        <f t="shared" si="2"/>
        <v>-704239</v>
      </c>
      <c r="M8" s="141">
        <f t="shared" si="3"/>
        <v>-1</v>
      </c>
      <c r="N8" s="588"/>
      <c r="O8" s="370">
        <v>1135128</v>
      </c>
      <c r="P8" s="139"/>
      <c r="Q8" s="140">
        <f t="shared" si="4"/>
        <v>-1135128</v>
      </c>
      <c r="R8" s="141">
        <f t="shared" si="5"/>
        <v>-1</v>
      </c>
      <c r="S8" s="588"/>
      <c r="T8" s="139">
        <v>1495434</v>
      </c>
      <c r="U8" s="139"/>
      <c r="V8" s="140">
        <f t="shared" si="6"/>
        <v>-1495434</v>
      </c>
      <c r="W8" s="141">
        <f t="shared" si="7"/>
        <v>-1</v>
      </c>
      <c r="X8" s="588"/>
    </row>
    <row r="9" spans="1:25" ht="31.5" x14ac:dyDescent="0.2">
      <c r="A9" s="280" t="s">
        <v>100</v>
      </c>
      <c r="B9" s="76" t="s">
        <v>498</v>
      </c>
      <c r="C9" s="139">
        <v>44518</v>
      </c>
      <c r="D9" s="370">
        <v>41859</v>
      </c>
      <c r="E9" s="370">
        <v>6633</v>
      </c>
      <c r="F9" s="139"/>
      <c r="G9" s="140">
        <f t="shared" si="0"/>
        <v>-6633</v>
      </c>
      <c r="H9" s="141">
        <f t="shared" si="1"/>
        <v>-1</v>
      </c>
      <c r="I9" s="589"/>
      <c r="J9" s="370">
        <v>18196</v>
      </c>
      <c r="K9" s="139"/>
      <c r="L9" s="140">
        <f t="shared" si="2"/>
        <v>-18196</v>
      </c>
      <c r="M9" s="141">
        <f t="shared" si="3"/>
        <v>-1</v>
      </c>
      <c r="N9" s="589"/>
      <c r="O9" s="370">
        <v>31077</v>
      </c>
      <c r="P9" s="139"/>
      <c r="Q9" s="140">
        <f t="shared" si="4"/>
        <v>-31077</v>
      </c>
      <c r="R9" s="141">
        <f t="shared" si="5"/>
        <v>-1</v>
      </c>
      <c r="S9" s="589"/>
      <c r="T9" s="139">
        <v>41859</v>
      </c>
      <c r="U9" s="139"/>
      <c r="V9" s="140">
        <f t="shared" si="6"/>
        <v>-41859</v>
      </c>
      <c r="W9" s="141">
        <f t="shared" si="7"/>
        <v>-1</v>
      </c>
      <c r="X9" s="589"/>
    </row>
    <row r="10" spans="1:25" ht="17.100000000000001" customHeight="1" x14ac:dyDescent="0.2">
      <c r="A10" s="175" t="s">
        <v>101</v>
      </c>
      <c r="B10" s="176" t="s">
        <v>102</v>
      </c>
      <c r="C10" s="172">
        <f t="shared" ref="C10" si="9">SUM(C11:C12)</f>
        <v>0</v>
      </c>
      <c r="D10" s="369">
        <v>0</v>
      </c>
      <c r="E10" s="369">
        <v>0</v>
      </c>
      <c r="F10" s="172">
        <f t="shared" ref="F10" si="10">SUM(F11:F12)</f>
        <v>0</v>
      </c>
      <c r="G10" s="173">
        <f t="shared" si="0"/>
        <v>0</v>
      </c>
      <c r="H10" s="174" t="str">
        <f t="shared" si="1"/>
        <v>-</v>
      </c>
      <c r="I10" s="587"/>
      <c r="J10" s="369">
        <v>0</v>
      </c>
      <c r="K10" s="172">
        <f t="shared" ref="K10" si="11">SUM(K11:K12)</f>
        <v>0</v>
      </c>
      <c r="L10" s="173">
        <f t="shared" si="2"/>
        <v>0</v>
      </c>
      <c r="M10" s="174" t="str">
        <f t="shared" si="3"/>
        <v>-</v>
      </c>
      <c r="N10" s="587"/>
      <c r="O10" s="369">
        <v>0</v>
      </c>
      <c r="P10" s="172">
        <f t="shared" ref="P10" si="12">SUM(P11:P12)</f>
        <v>0</v>
      </c>
      <c r="Q10" s="173">
        <f t="shared" si="4"/>
        <v>0</v>
      </c>
      <c r="R10" s="174" t="str">
        <f t="shared" si="5"/>
        <v>-</v>
      </c>
      <c r="S10" s="587"/>
      <c r="T10" s="172">
        <v>0</v>
      </c>
      <c r="U10" s="172">
        <f t="shared" ref="U10" si="13">SUM(U11:U12)</f>
        <v>0</v>
      </c>
      <c r="V10" s="173">
        <f t="shared" si="6"/>
        <v>0</v>
      </c>
      <c r="W10" s="174" t="str">
        <f t="shared" si="7"/>
        <v>-</v>
      </c>
      <c r="X10" s="587"/>
    </row>
    <row r="11" spans="1:25" ht="17.100000000000001" customHeight="1" x14ac:dyDescent="0.2">
      <c r="A11" s="280" t="s">
        <v>103</v>
      </c>
      <c r="B11" s="76" t="s">
        <v>104</v>
      </c>
      <c r="C11" s="139"/>
      <c r="D11" s="370">
        <v>0</v>
      </c>
      <c r="E11" s="370">
        <v>0</v>
      </c>
      <c r="F11" s="139"/>
      <c r="G11" s="140">
        <f t="shared" si="0"/>
        <v>0</v>
      </c>
      <c r="H11" s="141" t="str">
        <f t="shared" si="1"/>
        <v>-</v>
      </c>
      <c r="I11" s="588"/>
      <c r="J11" s="370">
        <v>0</v>
      </c>
      <c r="K11" s="139"/>
      <c r="L11" s="140">
        <f t="shared" si="2"/>
        <v>0</v>
      </c>
      <c r="M11" s="141" t="str">
        <f t="shared" si="3"/>
        <v>-</v>
      </c>
      <c r="N11" s="588"/>
      <c r="O11" s="370">
        <v>0</v>
      </c>
      <c r="P11" s="139"/>
      <c r="Q11" s="140">
        <f t="shared" si="4"/>
        <v>0</v>
      </c>
      <c r="R11" s="141" t="str">
        <f t="shared" si="5"/>
        <v>-</v>
      </c>
      <c r="S11" s="588"/>
      <c r="T11" s="139">
        <v>0</v>
      </c>
      <c r="U11" s="139"/>
      <c r="V11" s="140">
        <f t="shared" si="6"/>
        <v>0</v>
      </c>
      <c r="W11" s="141" t="str">
        <f t="shared" si="7"/>
        <v>-</v>
      </c>
      <c r="X11" s="588"/>
    </row>
    <row r="12" spans="1:25" ht="17.100000000000001" customHeight="1" x14ac:dyDescent="0.2">
      <c r="A12" s="280" t="s">
        <v>105</v>
      </c>
      <c r="B12" s="76" t="s">
        <v>106</v>
      </c>
      <c r="C12" s="139"/>
      <c r="D12" s="370">
        <v>0</v>
      </c>
      <c r="E12" s="370">
        <v>0</v>
      </c>
      <c r="F12" s="139"/>
      <c r="G12" s="140">
        <f t="shared" si="0"/>
        <v>0</v>
      </c>
      <c r="H12" s="141" t="str">
        <f t="shared" si="1"/>
        <v>-</v>
      </c>
      <c r="I12" s="589"/>
      <c r="J12" s="370">
        <v>0</v>
      </c>
      <c r="K12" s="139"/>
      <c r="L12" s="140">
        <f t="shared" si="2"/>
        <v>0</v>
      </c>
      <c r="M12" s="141" t="str">
        <f t="shared" si="3"/>
        <v>-</v>
      </c>
      <c r="N12" s="589"/>
      <c r="O12" s="370">
        <v>0</v>
      </c>
      <c r="P12" s="139"/>
      <c r="Q12" s="140">
        <f t="shared" si="4"/>
        <v>0</v>
      </c>
      <c r="R12" s="141" t="str">
        <f t="shared" si="5"/>
        <v>-</v>
      </c>
      <c r="S12" s="589"/>
      <c r="T12" s="139">
        <v>0</v>
      </c>
      <c r="U12" s="139"/>
      <c r="V12" s="140">
        <f t="shared" si="6"/>
        <v>0</v>
      </c>
      <c r="W12" s="141" t="str">
        <f t="shared" si="7"/>
        <v>-</v>
      </c>
      <c r="X12" s="589"/>
    </row>
    <row r="13" spans="1:25" ht="17.100000000000001" customHeight="1" x14ac:dyDescent="0.2">
      <c r="A13" s="175" t="s">
        <v>107</v>
      </c>
      <c r="B13" s="176" t="s">
        <v>493</v>
      </c>
      <c r="C13" s="172">
        <f t="shared" ref="C13" si="14">SUM(C14:C15)</f>
        <v>991555.56</v>
      </c>
      <c r="D13" s="369">
        <v>1263384.4800000002</v>
      </c>
      <c r="E13" s="369">
        <v>305976.91000000003</v>
      </c>
      <c r="F13" s="172">
        <f>SUM(F14:F15)</f>
        <v>0</v>
      </c>
      <c r="G13" s="173">
        <f t="shared" si="0"/>
        <v>-305976.91000000003</v>
      </c>
      <c r="H13" s="174">
        <f t="shared" si="1"/>
        <v>-1</v>
      </c>
      <c r="I13" s="587"/>
      <c r="J13" s="369">
        <v>622063.9800000001</v>
      </c>
      <c r="K13" s="172">
        <f>SUM(K14:K15)</f>
        <v>0</v>
      </c>
      <c r="L13" s="173">
        <f t="shared" si="2"/>
        <v>-622063.9800000001</v>
      </c>
      <c r="M13" s="174">
        <f t="shared" si="3"/>
        <v>-1</v>
      </c>
      <c r="N13" s="587"/>
      <c r="O13" s="369">
        <v>946442.53000000014</v>
      </c>
      <c r="P13" s="172">
        <f>SUM(P14:P15)</f>
        <v>0</v>
      </c>
      <c r="Q13" s="173">
        <f t="shared" si="4"/>
        <v>-946442.53000000014</v>
      </c>
      <c r="R13" s="174">
        <f t="shared" si="5"/>
        <v>-1</v>
      </c>
      <c r="S13" s="587"/>
      <c r="T13" s="172">
        <v>1263384.4800000002</v>
      </c>
      <c r="U13" s="172">
        <f>SUM(U14:U15)</f>
        <v>0</v>
      </c>
      <c r="V13" s="173">
        <f t="shared" si="6"/>
        <v>-1263384.4800000002</v>
      </c>
      <c r="W13" s="174">
        <f t="shared" si="7"/>
        <v>-1</v>
      </c>
      <c r="X13" s="587"/>
    </row>
    <row r="14" spans="1:25" ht="17.100000000000001" customHeight="1" x14ac:dyDescent="0.2">
      <c r="A14" s="280" t="s">
        <v>109</v>
      </c>
      <c r="B14" s="76" t="s">
        <v>110</v>
      </c>
      <c r="C14" s="139">
        <f>2034.8+987919.09+1601.67</f>
        <v>991555.56</v>
      </c>
      <c r="D14" s="370">
        <v>1263384.4800000002</v>
      </c>
      <c r="E14" s="370">
        <v>305976.91000000003</v>
      </c>
      <c r="F14" s="139"/>
      <c r="G14" s="140">
        <f t="shared" si="0"/>
        <v>-305976.91000000003</v>
      </c>
      <c r="H14" s="141">
        <f t="shared" si="1"/>
        <v>-1</v>
      </c>
      <c r="I14" s="588"/>
      <c r="J14" s="370">
        <v>622063.9800000001</v>
      </c>
      <c r="K14" s="139"/>
      <c r="L14" s="140">
        <f t="shared" si="2"/>
        <v>-622063.9800000001</v>
      </c>
      <c r="M14" s="141">
        <f t="shared" si="3"/>
        <v>-1</v>
      </c>
      <c r="N14" s="588"/>
      <c r="O14" s="370">
        <v>946442.53000000014</v>
      </c>
      <c r="P14" s="139"/>
      <c r="Q14" s="140">
        <f t="shared" si="4"/>
        <v>-946442.53000000014</v>
      </c>
      <c r="R14" s="141">
        <f t="shared" si="5"/>
        <v>-1</v>
      </c>
      <c r="S14" s="588"/>
      <c r="T14" s="139">
        <v>1263384.4800000002</v>
      </c>
      <c r="U14" s="139"/>
      <c r="V14" s="140">
        <f t="shared" si="6"/>
        <v>-1263384.4800000002</v>
      </c>
      <c r="W14" s="141">
        <f t="shared" si="7"/>
        <v>-1</v>
      </c>
      <c r="X14" s="588"/>
    </row>
    <row r="15" spans="1:25" ht="17.100000000000001" customHeight="1" x14ac:dyDescent="0.2">
      <c r="A15" s="280" t="s">
        <v>111</v>
      </c>
      <c r="B15" s="76" t="s">
        <v>494</v>
      </c>
      <c r="C15" s="139"/>
      <c r="D15" s="370">
        <v>0</v>
      </c>
      <c r="E15" s="370">
        <v>0</v>
      </c>
      <c r="F15" s="139"/>
      <c r="G15" s="140">
        <f t="shared" si="0"/>
        <v>0</v>
      </c>
      <c r="H15" s="141" t="str">
        <f t="shared" si="1"/>
        <v>-</v>
      </c>
      <c r="I15" s="589"/>
      <c r="J15" s="370">
        <v>0</v>
      </c>
      <c r="K15" s="139"/>
      <c r="L15" s="140">
        <f t="shared" si="2"/>
        <v>0</v>
      </c>
      <c r="M15" s="141" t="str">
        <f t="shared" si="3"/>
        <v>-</v>
      </c>
      <c r="N15" s="589"/>
      <c r="O15" s="370">
        <v>0</v>
      </c>
      <c r="P15" s="139"/>
      <c r="Q15" s="140">
        <f t="shared" si="4"/>
        <v>0</v>
      </c>
      <c r="R15" s="141" t="str">
        <f t="shared" si="5"/>
        <v>-</v>
      </c>
      <c r="S15" s="589"/>
      <c r="T15" s="139">
        <v>0</v>
      </c>
      <c r="U15" s="139"/>
      <c r="V15" s="140">
        <f t="shared" si="6"/>
        <v>0</v>
      </c>
      <c r="W15" s="141" t="str">
        <f t="shared" si="7"/>
        <v>-</v>
      </c>
      <c r="X15" s="589"/>
    </row>
    <row r="16" spans="1:25" ht="17.100000000000001" customHeight="1" x14ac:dyDescent="0.2">
      <c r="A16" s="175" t="s">
        <v>112</v>
      </c>
      <c r="B16" s="176" t="s">
        <v>84</v>
      </c>
      <c r="C16" s="172">
        <f>SUM(C17:C18)</f>
        <v>102392.75</v>
      </c>
      <c r="D16" s="369">
        <v>102392.37999999999</v>
      </c>
      <c r="E16" s="369">
        <v>22585.11</v>
      </c>
      <c r="F16" s="172">
        <f>F18</f>
        <v>0</v>
      </c>
      <c r="G16" s="173">
        <f t="shared" si="0"/>
        <v>-22585.11</v>
      </c>
      <c r="H16" s="174">
        <f t="shared" si="1"/>
        <v>-1</v>
      </c>
      <c r="I16" s="587"/>
      <c r="J16" s="369">
        <v>49487.32</v>
      </c>
      <c r="K16" s="172">
        <f>K18</f>
        <v>0</v>
      </c>
      <c r="L16" s="173">
        <f t="shared" si="2"/>
        <v>-49487.32</v>
      </c>
      <c r="M16" s="174">
        <f t="shared" si="3"/>
        <v>-1</v>
      </c>
      <c r="N16" s="587"/>
      <c r="O16" s="369">
        <v>78646.600000000006</v>
      </c>
      <c r="P16" s="172">
        <f>P18</f>
        <v>0</v>
      </c>
      <c r="Q16" s="173">
        <f t="shared" si="4"/>
        <v>-78646.600000000006</v>
      </c>
      <c r="R16" s="174">
        <f t="shared" si="5"/>
        <v>-1</v>
      </c>
      <c r="S16" s="587"/>
      <c r="T16" s="172">
        <v>102392.37999999999</v>
      </c>
      <c r="U16" s="172">
        <f>U18</f>
        <v>0</v>
      </c>
      <c r="V16" s="173">
        <f t="shared" si="6"/>
        <v>-102392.37999999999</v>
      </c>
      <c r="W16" s="174">
        <f t="shared" si="7"/>
        <v>-1</v>
      </c>
      <c r="X16" s="587"/>
    </row>
    <row r="17" spans="1:25" ht="34.5" x14ac:dyDescent="0.2">
      <c r="A17" s="280" t="s">
        <v>113</v>
      </c>
      <c r="B17" s="142" t="s">
        <v>502</v>
      </c>
      <c r="C17" s="139"/>
      <c r="D17" s="370">
        <v>102392.37999999999</v>
      </c>
      <c r="E17" s="370">
        <v>22585.11</v>
      </c>
      <c r="F17" s="139"/>
      <c r="G17" s="140">
        <f t="shared" si="0"/>
        <v>-22585.11</v>
      </c>
      <c r="H17" s="141">
        <f t="shared" si="1"/>
        <v>-1</v>
      </c>
      <c r="I17" s="588"/>
      <c r="J17" s="370">
        <v>49487.32</v>
      </c>
      <c r="K17" s="139"/>
      <c r="L17" s="140">
        <f t="shared" si="2"/>
        <v>-49487.32</v>
      </c>
      <c r="M17" s="141">
        <f t="shared" si="3"/>
        <v>-1</v>
      </c>
      <c r="N17" s="588"/>
      <c r="O17" s="370">
        <v>78646.600000000006</v>
      </c>
      <c r="P17" s="139"/>
      <c r="Q17" s="140">
        <f t="shared" si="4"/>
        <v>-78646.600000000006</v>
      </c>
      <c r="R17" s="141">
        <f t="shared" si="5"/>
        <v>-1</v>
      </c>
      <c r="S17" s="588"/>
      <c r="T17" s="139">
        <v>102392.37999999999</v>
      </c>
      <c r="U17" s="139"/>
      <c r="V17" s="140">
        <f t="shared" si="6"/>
        <v>-102392.37999999999</v>
      </c>
      <c r="W17" s="141">
        <f t="shared" si="7"/>
        <v>-1</v>
      </c>
      <c r="X17" s="588"/>
    </row>
    <row r="18" spans="1:25" ht="17.100000000000001" customHeight="1" x14ac:dyDescent="0.2">
      <c r="A18" s="280" t="s">
        <v>114</v>
      </c>
      <c r="B18" s="76" t="s">
        <v>583</v>
      </c>
      <c r="C18" s="139">
        <v>102392.75</v>
      </c>
      <c r="D18" s="370">
        <v>0</v>
      </c>
      <c r="E18" s="371">
        <v>0</v>
      </c>
      <c r="F18" s="139"/>
      <c r="G18" s="140">
        <f t="shared" si="0"/>
        <v>0</v>
      </c>
      <c r="H18" s="141" t="str">
        <f t="shared" si="1"/>
        <v>-</v>
      </c>
      <c r="I18" s="588"/>
      <c r="J18" s="370">
        <v>0</v>
      </c>
      <c r="K18" s="139"/>
      <c r="L18" s="140">
        <f t="shared" si="2"/>
        <v>0</v>
      </c>
      <c r="M18" s="141" t="str">
        <f t="shared" si="3"/>
        <v>-</v>
      </c>
      <c r="N18" s="588"/>
      <c r="O18" s="371">
        <v>0</v>
      </c>
      <c r="P18" s="139"/>
      <c r="Q18" s="140">
        <f t="shared" si="4"/>
        <v>0</v>
      </c>
      <c r="R18" s="141" t="str">
        <f t="shared" si="5"/>
        <v>-</v>
      </c>
      <c r="S18" s="588"/>
      <c r="T18" s="143">
        <v>0</v>
      </c>
      <c r="U18" s="139"/>
      <c r="V18" s="140">
        <f t="shared" si="6"/>
        <v>0</v>
      </c>
      <c r="W18" s="141" t="str">
        <f t="shared" si="7"/>
        <v>-</v>
      </c>
      <c r="X18" s="588"/>
    </row>
    <row r="19" spans="1:25" s="2" customFormat="1" ht="17.100000000000001" customHeight="1" x14ac:dyDescent="0.2">
      <c r="A19" s="175" t="s">
        <v>115</v>
      </c>
      <c r="B19" s="176" t="s">
        <v>407</v>
      </c>
      <c r="C19" s="172">
        <f t="shared" ref="C19" si="15">SUM(C20:C21)</f>
        <v>0</v>
      </c>
      <c r="D19" s="369">
        <v>0</v>
      </c>
      <c r="E19" s="369">
        <v>0</v>
      </c>
      <c r="F19" s="172">
        <f t="shared" ref="F19" si="16">SUM(F20:F21)</f>
        <v>0</v>
      </c>
      <c r="G19" s="173">
        <f t="shared" si="0"/>
        <v>0</v>
      </c>
      <c r="H19" s="174" t="str">
        <f t="shared" si="1"/>
        <v>-</v>
      </c>
      <c r="I19" s="587"/>
      <c r="J19" s="369">
        <v>0</v>
      </c>
      <c r="K19" s="172">
        <f t="shared" ref="K19" si="17">SUM(K20:K21)</f>
        <v>0</v>
      </c>
      <c r="L19" s="173">
        <f t="shared" si="2"/>
        <v>0</v>
      </c>
      <c r="M19" s="174" t="str">
        <f t="shared" si="3"/>
        <v>-</v>
      </c>
      <c r="N19" s="587"/>
      <c r="O19" s="369">
        <v>0</v>
      </c>
      <c r="P19" s="172">
        <f t="shared" ref="P19" si="18">SUM(P20:P21)</f>
        <v>0</v>
      </c>
      <c r="Q19" s="173">
        <f t="shared" si="4"/>
        <v>0</v>
      </c>
      <c r="R19" s="174" t="str">
        <f t="shared" si="5"/>
        <v>-</v>
      </c>
      <c r="S19" s="587"/>
      <c r="T19" s="172">
        <v>0</v>
      </c>
      <c r="U19" s="172">
        <f t="shared" ref="U19" si="19">SUM(U20:U21)</f>
        <v>0</v>
      </c>
      <c r="V19" s="173">
        <f t="shared" si="6"/>
        <v>0</v>
      </c>
      <c r="W19" s="174" t="str">
        <f t="shared" si="7"/>
        <v>-</v>
      </c>
      <c r="X19" s="587"/>
      <c r="Y19" s="1"/>
    </row>
    <row r="20" spans="1:25" ht="17.100000000000001" customHeight="1" x14ac:dyDescent="0.2">
      <c r="A20" s="280" t="s">
        <v>408</v>
      </c>
      <c r="B20" s="76" t="s">
        <v>326</v>
      </c>
      <c r="C20" s="139"/>
      <c r="D20" s="370">
        <v>0</v>
      </c>
      <c r="E20" s="370">
        <v>0</v>
      </c>
      <c r="F20" s="139"/>
      <c r="G20" s="140">
        <f t="shared" si="0"/>
        <v>0</v>
      </c>
      <c r="H20" s="141" t="str">
        <f t="shared" si="1"/>
        <v>-</v>
      </c>
      <c r="I20" s="588"/>
      <c r="J20" s="370">
        <v>0</v>
      </c>
      <c r="K20" s="139"/>
      <c r="L20" s="140">
        <f t="shared" si="2"/>
        <v>0</v>
      </c>
      <c r="M20" s="141" t="str">
        <f t="shared" si="3"/>
        <v>-</v>
      </c>
      <c r="N20" s="588"/>
      <c r="O20" s="370">
        <v>0</v>
      </c>
      <c r="P20" s="139"/>
      <c r="Q20" s="140">
        <f t="shared" si="4"/>
        <v>0</v>
      </c>
      <c r="R20" s="141" t="str">
        <f t="shared" si="5"/>
        <v>-</v>
      </c>
      <c r="S20" s="588"/>
      <c r="T20" s="139">
        <v>0</v>
      </c>
      <c r="U20" s="139"/>
      <c r="V20" s="140">
        <f t="shared" si="6"/>
        <v>0</v>
      </c>
      <c r="W20" s="141" t="str">
        <f t="shared" si="7"/>
        <v>-</v>
      </c>
      <c r="X20" s="588"/>
    </row>
    <row r="21" spans="1:25" ht="33" customHeight="1" x14ac:dyDescent="0.2">
      <c r="A21" s="280" t="s">
        <v>409</v>
      </c>
      <c r="B21" s="76" t="s">
        <v>327</v>
      </c>
      <c r="C21" s="139"/>
      <c r="D21" s="370">
        <v>0</v>
      </c>
      <c r="E21" s="370">
        <v>0</v>
      </c>
      <c r="F21" s="139"/>
      <c r="G21" s="140">
        <f t="shared" si="0"/>
        <v>0</v>
      </c>
      <c r="H21" s="141" t="str">
        <f t="shared" si="1"/>
        <v>-</v>
      </c>
      <c r="I21" s="589"/>
      <c r="J21" s="370">
        <v>0</v>
      </c>
      <c r="K21" s="139"/>
      <c r="L21" s="140">
        <f t="shared" si="2"/>
        <v>0</v>
      </c>
      <c r="M21" s="141" t="str">
        <f t="shared" si="3"/>
        <v>-</v>
      </c>
      <c r="N21" s="589"/>
      <c r="O21" s="370">
        <v>0</v>
      </c>
      <c r="P21" s="139"/>
      <c r="Q21" s="140">
        <f t="shared" si="4"/>
        <v>0</v>
      </c>
      <c r="R21" s="141" t="str">
        <f t="shared" si="5"/>
        <v>-</v>
      </c>
      <c r="S21" s="589"/>
      <c r="T21" s="139">
        <v>0</v>
      </c>
      <c r="U21" s="139"/>
      <c r="V21" s="140">
        <f t="shared" si="6"/>
        <v>0</v>
      </c>
      <c r="W21" s="141" t="str">
        <f t="shared" si="7"/>
        <v>-</v>
      </c>
      <c r="X21" s="589"/>
    </row>
    <row r="22" spans="1:25" s="2" customFormat="1" ht="17.100000000000001" customHeight="1" x14ac:dyDescent="0.2">
      <c r="A22" s="175" t="s">
        <v>116</v>
      </c>
      <c r="B22" s="176" t="s">
        <v>153</v>
      </c>
      <c r="C22" s="172">
        <f t="shared" ref="C22" si="20">SUM(C23:C26)</f>
        <v>1828202.5399999998</v>
      </c>
      <c r="D22" s="369">
        <v>1772777.44</v>
      </c>
      <c r="E22" s="369">
        <v>487984.51</v>
      </c>
      <c r="F22" s="172">
        <f>SUM(F23:F26)</f>
        <v>0</v>
      </c>
      <c r="G22" s="173">
        <f t="shared" si="0"/>
        <v>-487984.51</v>
      </c>
      <c r="H22" s="174">
        <f t="shared" si="1"/>
        <v>-1</v>
      </c>
      <c r="I22" s="587"/>
      <c r="J22" s="369">
        <v>932419.12</v>
      </c>
      <c r="K22" s="172">
        <f>SUM(K23:K26)</f>
        <v>0</v>
      </c>
      <c r="L22" s="173">
        <f t="shared" si="2"/>
        <v>-932419.12</v>
      </c>
      <c r="M22" s="174">
        <f t="shared" si="3"/>
        <v>-1</v>
      </c>
      <c r="N22" s="587"/>
      <c r="O22" s="369">
        <v>1360644.8</v>
      </c>
      <c r="P22" s="172">
        <f>SUM(P23:P26)</f>
        <v>0</v>
      </c>
      <c r="Q22" s="173">
        <f t="shared" si="4"/>
        <v>-1360644.8</v>
      </c>
      <c r="R22" s="174">
        <f t="shared" si="5"/>
        <v>-1</v>
      </c>
      <c r="S22" s="587"/>
      <c r="T22" s="172">
        <v>1772777.44</v>
      </c>
      <c r="U22" s="172">
        <f>SUM(U23:U26)</f>
        <v>0</v>
      </c>
      <c r="V22" s="173">
        <f t="shared" si="6"/>
        <v>-1772777.44</v>
      </c>
      <c r="W22" s="174">
        <f t="shared" si="7"/>
        <v>-1</v>
      </c>
      <c r="X22" s="587"/>
      <c r="Y22" s="1"/>
    </row>
    <row r="23" spans="1:25" ht="17.100000000000001" customHeight="1" x14ac:dyDescent="0.2">
      <c r="A23" s="280" t="s">
        <v>251</v>
      </c>
      <c r="B23" s="76" t="s">
        <v>503</v>
      </c>
      <c r="C23" s="139">
        <f>7.51+1563818.64</f>
        <v>1563826.15</v>
      </c>
      <c r="D23" s="370">
        <v>1508400.5</v>
      </c>
      <c r="E23" s="370">
        <v>409784.78</v>
      </c>
      <c r="F23" s="139"/>
      <c r="G23" s="140">
        <f t="shared" si="0"/>
        <v>-409784.78</v>
      </c>
      <c r="H23" s="141">
        <f t="shared" si="1"/>
        <v>-1</v>
      </c>
      <c r="I23" s="588"/>
      <c r="J23" s="370">
        <v>797186.16</v>
      </c>
      <c r="K23" s="139"/>
      <c r="L23" s="140">
        <f t="shared" si="2"/>
        <v>-797186.16</v>
      </c>
      <c r="M23" s="141">
        <f t="shared" si="3"/>
        <v>-1</v>
      </c>
      <c r="N23" s="588"/>
      <c r="O23" s="370">
        <v>1168653.96</v>
      </c>
      <c r="P23" s="139"/>
      <c r="Q23" s="140">
        <f t="shared" si="4"/>
        <v>-1168653.96</v>
      </c>
      <c r="R23" s="141">
        <f t="shared" si="5"/>
        <v>-1</v>
      </c>
      <c r="S23" s="588"/>
      <c r="T23" s="139">
        <v>1508400.5</v>
      </c>
      <c r="U23" s="139"/>
      <c r="V23" s="140">
        <f t="shared" si="6"/>
        <v>-1508400.5</v>
      </c>
      <c r="W23" s="141">
        <f t="shared" si="7"/>
        <v>-1</v>
      </c>
      <c r="X23" s="588"/>
    </row>
    <row r="24" spans="1:25" ht="17.100000000000001" customHeight="1" x14ac:dyDescent="0.2">
      <c r="A24" s="280" t="s">
        <v>252</v>
      </c>
      <c r="B24" s="76" t="s">
        <v>504</v>
      </c>
      <c r="C24" s="139"/>
      <c r="D24" s="370">
        <v>0</v>
      </c>
      <c r="E24" s="370">
        <v>0</v>
      </c>
      <c r="F24" s="139"/>
      <c r="G24" s="140">
        <f t="shared" si="0"/>
        <v>0</v>
      </c>
      <c r="H24" s="141" t="str">
        <f t="shared" si="1"/>
        <v>-</v>
      </c>
      <c r="I24" s="588"/>
      <c r="J24" s="370">
        <v>0</v>
      </c>
      <c r="K24" s="139"/>
      <c r="L24" s="140">
        <f t="shared" si="2"/>
        <v>0</v>
      </c>
      <c r="M24" s="141" t="str">
        <f t="shared" si="3"/>
        <v>-</v>
      </c>
      <c r="N24" s="588"/>
      <c r="O24" s="370">
        <v>0</v>
      </c>
      <c r="P24" s="139"/>
      <c r="Q24" s="140">
        <f t="shared" si="4"/>
        <v>0</v>
      </c>
      <c r="R24" s="141" t="str">
        <f t="shared" si="5"/>
        <v>-</v>
      </c>
      <c r="S24" s="588"/>
      <c r="T24" s="139">
        <v>0</v>
      </c>
      <c r="U24" s="139"/>
      <c r="V24" s="140">
        <f t="shared" si="6"/>
        <v>0</v>
      </c>
      <c r="W24" s="141" t="str">
        <f t="shared" si="7"/>
        <v>-</v>
      </c>
      <c r="X24" s="588"/>
    </row>
    <row r="25" spans="1:25" ht="17.100000000000001" customHeight="1" x14ac:dyDescent="0.2">
      <c r="A25" s="280" t="s">
        <v>117</v>
      </c>
      <c r="B25" s="76" t="s">
        <v>505</v>
      </c>
      <c r="C25" s="139">
        <v>63658.38</v>
      </c>
      <c r="D25" s="370">
        <v>63658.67</v>
      </c>
      <c r="E25" s="370">
        <v>15905.43</v>
      </c>
      <c r="F25" s="139"/>
      <c r="G25" s="140">
        <f t="shared" si="0"/>
        <v>-15905.43</v>
      </c>
      <c r="H25" s="141">
        <f t="shared" si="1"/>
        <v>-1</v>
      </c>
      <c r="I25" s="588"/>
      <c r="J25" s="370">
        <v>31182.799999999999</v>
      </c>
      <c r="K25" s="139"/>
      <c r="L25" s="140"/>
      <c r="M25" s="141"/>
      <c r="N25" s="588"/>
      <c r="O25" s="370">
        <v>47158.909999999996</v>
      </c>
      <c r="P25" s="139"/>
      <c r="Q25" s="140">
        <f t="shared" si="4"/>
        <v>-47158.909999999996</v>
      </c>
      <c r="R25" s="141">
        <f t="shared" si="5"/>
        <v>-1</v>
      </c>
      <c r="S25" s="588"/>
      <c r="T25" s="139">
        <v>63658.67</v>
      </c>
      <c r="U25" s="139"/>
      <c r="V25" s="140">
        <f t="shared" si="6"/>
        <v>-63658.67</v>
      </c>
      <c r="W25" s="141">
        <f t="shared" si="7"/>
        <v>-1</v>
      </c>
      <c r="X25" s="588"/>
    </row>
    <row r="26" spans="1:25" ht="17.100000000000001" customHeight="1" x14ac:dyDescent="0.2">
      <c r="A26" s="280" t="s">
        <v>495</v>
      </c>
      <c r="B26" s="76" t="s">
        <v>506</v>
      </c>
      <c r="C26" s="139">
        <v>200718.01</v>
      </c>
      <c r="D26" s="370">
        <v>200718.27000000002</v>
      </c>
      <c r="E26" s="370">
        <v>62294.3</v>
      </c>
      <c r="F26" s="139"/>
      <c r="G26" s="140">
        <f t="shared" si="0"/>
        <v>-62294.3</v>
      </c>
      <c r="H26" s="141">
        <f t="shared" si="1"/>
        <v>-1</v>
      </c>
      <c r="I26" s="589"/>
      <c r="J26" s="370">
        <v>104050.16</v>
      </c>
      <c r="K26" s="139"/>
      <c r="L26" s="140">
        <f t="shared" si="2"/>
        <v>-104050.16</v>
      </c>
      <c r="M26" s="141">
        <f t="shared" si="3"/>
        <v>-1</v>
      </c>
      <c r="N26" s="589"/>
      <c r="O26" s="370">
        <v>144831.93000000002</v>
      </c>
      <c r="P26" s="139"/>
      <c r="Q26" s="140">
        <f t="shared" si="4"/>
        <v>-144831.93000000002</v>
      </c>
      <c r="R26" s="141">
        <f t="shared" si="5"/>
        <v>-1</v>
      </c>
      <c r="S26" s="589"/>
      <c r="T26" s="139">
        <v>200718.27000000002</v>
      </c>
      <c r="U26" s="139"/>
      <c r="V26" s="140">
        <f t="shared" si="6"/>
        <v>-200718.27000000002</v>
      </c>
      <c r="W26" s="141">
        <f t="shared" si="7"/>
        <v>-1</v>
      </c>
      <c r="X26" s="589"/>
    </row>
    <row r="27" spans="1:25" ht="17.100000000000001" customHeight="1" x14ac:dyDescent="0.2">
      <c r="A27" s="144" t="s">
        <v>120</v>
      </c>
      <c r="B27" s="145" t="s">
        <v>4</v>
      </c>
      <c r="C27" s="146">
        <v>306982.46000000002</v>
      </c>
      <c r="D27" s="372">
        <v>306982.45999999996</v>
      </c>
      <c r="E27" s="372">
        <v>83084</v>
      </c>
      <c r="F27" s="146"/>
      <c r="G27" s="147">
        <f t="shared" si="0"/>
        <v>-83084</v>
      </c>
      <c r="H27" s="148">
        <f t="shared" si="1"/>
        <v>-1</v>
      </c>
      <c r="I27" s="149"/>
      <c r="J27" s="372">
        <v>150036</v>
      </c>
      <c r="K27" s="146"/>
      <c r="L27" s="147">
        <f t="shared" si="2"/>
        <v>-150036</v>
      </c>
      <c r="M27" s="148">
        <f t="shared" si="3"/>
        <v>-1</v>
      </c>
      <c r="N27" s="149"/>
      <c r="O27" s="372">
        <v>224335.46</v>
      </c>
      <c r="P27" s="146"/>
      <c r="Q27" s="147">
        <f t="shared" si="4"/>
        <v>-224335.46</v>
      </c>
      <c r="R27" s="148">
        <f t="shared" si="5"/>
        <v>-1</v>
      </c>
      <c r="S27" s="149"/>
      <c r="T27" s="146">
        <v>306982.45999999996</v>
      </c>
      <c r="U27" s="146"/>
      <c r="V27" s="147">
        <f t="shared" si="6"/>
        <v>-306982.45999999996</v>
      </c>
      <c r="W27" s="148">
        <f t="shared" si="7"/>
        <v>-1</v>
      </c>
      <c r="X27" s="149"/>
    </row>
    <row r="28" spans="1:25" ht="17.100000000000001" customHeight="1" x14ac:dyDescent="0.2">
      <c r="A28" s="144" t="s">
        <v>121</v>
      </c>
      <c r="B28" s="145" t="s">
        <v>5</v>
      </c>
      <c r="C28" s="146">
        <v>323426.25</v>
      </c>
      <c r="D28" s="372">
        <v>323419.62</v>
      </c>
      <c r="E28" s="372">
        <v>81966.38</v>
      </c>
      <c r="F28" s="146"/>
      <c r="G28" s="147">
        <f t="shared" si="0"/>
        <v>-81966.38</v>
      </c>
      <c r="H28" s="148">
        <f t="shared" si="1"/>
        <v>-1</v>
      </c>
      <c r="I28" s="149"/>
      <c r="J28" s="372">
        <v>161484.69999999998</v>
      </c>
      <c r="K28" s="146"/>
      <c r="L28" s="147">
        <f t="shared" si="2"/>
        <v>-161484.69999999998</v>
      </c>
      <c r="M28" s="148">
        <f t="shared" si="3"/>
        <v>-1</v>
      </c>
      <c r="N28" s="149"/>
      <c r="O28" s="372">
        <v>248652.22999999998</v>
      </c>
      <c r="P28" s="146"/>
      <c r="Q28" s="147">
        <f t="shared" si="4"/>
        <v>-248652.22999999998</v>
      </c>
      <c r="R28" s="148">
        <f t="shared" si="5"/>
        <v>-1</v>
      </c>
      <c r="S28" s="149"/>
      <c r="T28" s="146">
        <v>323419.62</v>
      </c>
      <c r="U28" s="146"/>
      <c r="V28" s="147">
        <f t="shared" si="6"/>
        <v>-323419.62</v>
      </c>
      <c r="W28" s="148">
        <f t="shared" si="7"/>
        <v>-1</v>
      </c>
      <c r="X28" s="149"/>
    </row>
    <row r="29" spans="1:25" ht="17.100000000000001" customHeight="1" x14ac:dyDescent="0.2">
      <c r="A29" s="144" t="s">
        <v>122</v>
      </c>
      <c r="B29" s="145" t="s">
        <v>6</v>
      </c>
      <c r="C29" s="146"/>
      <c r="D29" s="372">
        <v>0</v>
      </c>
      <c r="E29" s="372">
        <v>0</v>
      </c>
      <c r="F29" s="146"/>
      <c r="G29" s="147">
        <f t="shared" si="0"/>
        <v>0</v>
      </c>
      <c r="H29" s="148" t="str">
        <f t="shared" si="1"/>
        <v>-</v>
      </c>
      <c r="I29" s="149"/>
      <c r="J29" s="372">
        <v>0</v>
      </c>
      <c r="K29" s="146"/>
      <c r="L29" s="147">
        <f t="shared" si="2"/>
        <v>0</v>
      </c>
      <c r="M29" s="148" t="str">
        <f t="shared" si="3"/>
        <v>-</v>
      </c>
      <c r="N29" s="149"/>
      <c r="O29" s="372">
        <v>0</v>
      </c>
      <c r="P29" s="146"/>
      <c r="Q29" s="147">
        <f t="shared" si="4"/>
        <v>0</v>
      </c>
      <c r="R29" s="148" t="str">
        <f t="shared" si="5"/>
        <v>-</v>
      </c>
      <c r="S29" s="149"/>
      <c r="T29" s="146">
        <v>0</v>
      </c>
      <c r="U29" s="146"/>
      <c r="V29" s="147">
        <f t="shared" si="6"/>
        <v>0</v>
      </c>
      <c r="W29" s="148" t="str">
        <f t="shared" si="7"/>
        <v>-</v>
      </c>
      <c r="X29" s="149"/>
    </row>
    <row r="30" spans="1:25" s="3" customFormat="1" x14ac:dyDescent="0.2">
      <c r="A30" s="144" t="s">
        <v>123</v>
      </c>
      <c r="B30" s="150" t="s">
        <v>7</v>
      </c>
      <c r="C30" s="146">
        <v>161215</v>
      </c>
      <c r="D30" s="372">
        <v>161215</v>
      </c>
      <c r="E30" s="372">
        <v>44252</v>
      </c>
      <c r="F30" s="146"/>
      <c r="G30" s="147">
        <f t="shared" si="0"/>
        <v>-44252</v>
      </c>
      <c r="H30" s="148">
        <f t="shared" si="1"/>
        <v>-1</v>
      </c>
      <c r="I30" s="149"/>
      <c r="J30" s="372">
        <v>81111</v>
      </c>
      <c r="K30" s="146"/>
      <c r="L30" s="147">
        <f t="shared" si="2"/>
        <v>-81111</v>
      </c>
      <c r="M30" s="148">
        <f t="shared" si="3"/>
        <v>-1</v>
      </c>
      <c r="N30" s="149"/>
      <c r="O30" s="372">
        <v>118342</v>
      </c>
      <c r="P30" s="146"/>
      <c r="Q30" s="147">
        <f t="shared" si="4"/>
        <v>-118342</v>
      </c>
      <c r="R30" s="148">
        <f t="shared" si="5"/>
        <v>-1</v>
      </c>
      <c r="S30" s="149"/>
      <c r="T30" s="146">
        <v>161215</v>
      </c>
      <c r="U30" s="146"/>
      <c r="V30" s="147">
        <f t="shared" si="6"/>
        <v>-161215</v>
      </c>
      <c r="W30" s="148">
        <f t="shared" si="7"/>
        <v>-1</v>
      </c>
      <c r="X30" s="149"/>
      <c r="Y30" s="1"/>
    </row>
    <row r="31" spans="1:25" s="3" customFormat="1" ht="31.5" x14ac:dyDescent="0.2">
      <c r="A31" s="151" t="s">
        <v>124</v>
      </c>
      <c r="B31" s="152" t="s">
        <v>414</v>
      </c>
      <c r="C31" s="153">
        <f>305032.18+16743.61</f>
        <v>321775.78999999998</v>
      </c>
      <c r="D31" s="373">
        <v>324644.41000000003</v>
      </c>
      <c r="E31" s="373">
        <v>75359.959999999992</v>
      </c>
      <c r="F31" s="153"/>
      <c r="G31" s="154">
        <f t="shared" si="0"/>
        <v>-75359.959999999992</v>
      </c>
      <c r="H31" s="155">
        <f t="shared" si="1"/>
        <v>-1</v>
      </c>
      <c r="I31" s="149"/>
      <c r="J31" s="373">
        <v>152705.09999999998</v>
      </c>
      <c r="K31" s="153"/>
      <c r="L31" s="154">
        <f t="shared" si="2"/>
        <v>-152705.09999999998</v>
      </c>
      <c r="M31" s="155">
        <f t="shared" si="3"/>
        <v>-1</v>
      </c>
      <c r="N31" s="149"/>
      <c r="O31" s="373">
        <v>235266.70999999996</v>
      </c>
      <c r="P31" s="153"/>
      <c r="Q31" s="154">
        <f t="shared" si="4"/>
        <v>-235266.70999999996</v>
      </c>
      <c r="R31" s="155">
        <f t="shared" si="5"/>
        <v>-1</v>
      </c>
      <c r="S31" s="149"/>
      <c r="T31" s="153">
        <v>324644.41000000003</v>
      </c>
      <c r="U31" s="153"/>
      <c r="V31" s="154">
        <f t="shared" si="6"/>
        <v>-324644.41000000003</v>
      </c>
      <c r="W31" s="155">
        <f t="shared" si="7"/>
        <v>-1</v>
      </c>
      <c r="X31" s="149"/>
      <c r="Y31" s="1"/>
    </row>
    <row r="32" spans="1:25" ht="31.5" x14ac:dyDescent="0.2">
      <c r="A32" s="301" t="s">
        <v>8</v>
      </c>
      <c r="B32" s="302" t="s">
        <v>287</v>
      </c>
      <c r="C32" s="303">
        <f>C33+C58+C140</f>
        <v>26633096.950000003</v>
      </c>
      <c r="D32" s="367">
        <v>28104961.004913203</v>
      </c>
      <c r="E32" s="367">
        <v>7199622.2100000009</v>
      </c>
      <c r="F32" s="303">
        <f>F33+F58+F140</f>
        <v>0</v>
      </c>
      <c r="G32" s="304">
        <f t="shared" si="0"/>
        <v>-7199622.2100000009</v>
      </c>
      <c r="H32" s="305">
        <f t="shared" si="1"/>
        <v>-1</v>
      </c>
      <c r="I32" s="306"/>
      <c r="J32" s="367">
        <v>14054780.338739201</v>
      </c>
      <c r="K32" s="303">
        <f>K33+K58+K140</f>
        <v>0</v>
      </c>
      <c r="L32" s="304">
        <f t="shared" si="2"/>
        <v>-14054780.338739201</v>
      </c>
      <c r="M32" s="305">
        <f t="shared" si="3"/>
        <v>-1</v>
      </c>
      <c r="N32" s="306"/>
      <c r="O32" s="367">
        <v>20751698.834913202</v>
      </c>
      <c r="P32" s="303">
        <f>P33+P58+P140</f>
        <v>0</v>
      </c>
      <c r="Q32" s="304">
        <f t="shared" si="4"/>
        <v>-20751698.834913202</v>
      </c>
      <c r="R32" s="305">
        <f t="shared" si="5"/>
        <v>-1</v>
      </c>
      <c r="S32" s="306"/>
      <c r="T32" s="303">
        <v>28104961.004913203</v>
      </c>
      <c r="U32" s="303">
        <f>U33+U58+U140</f>
        <v>0</v>
      </c>
      <c r="V32" s="304">
        <f t="shared" si="6"/>
        <v>-28104961.004913203</v>
      </c>
      <c r="W32" s="305">
        <f t="shared" si="7"/>
        <v>-1</v>
      </c>
      <c r="X32" s="306"/>
    </row>
    <row r="33" spans="1:25" s="2" customFormat="1" ht="17.100000000000001" customHeight="1" x14ac:dyDescent="0.2">
      <c r="A33" s="273" t="s">
        <v>9</v>
      </c>
      <c r="B33" s="283" t="s">
        <v>10</v>
      </c>
      <c r="C33" s="368">
        <f>C34+C50</f>
        <v>16205142.710000001</v>
      </c>
      <c r="D33" s="368">
        <v>17305142.714913201</v>
      </c>
      <c r="E33" s="368">
        <v>4225370.43</v>
      </c>
      <c r="F33" s="274">
        <f>F34+F50</f>
        <v>0</v>
      </c>
      <c r="G33" s="275">
        <f t="shared" si="0"/>
        <v>-4225370.43</v>
      </c>
      <c r="H33" s="276">
        <f t="shared" si="1"/>
        <v>-1</v>
      </c>
      <c r="I33" s="277"/>
      <c r="J33" s="368">
        <v>8670603.5587392002</v>
      </c>
      <c r="K33" s="274">
        <f>K34+K50</f>
        <v>0</v>
      </c>
      <c r="L33" s="275">
        <f t="shared" si="2"/>
        <v>-8670603.5587392002</v>
      </c>
      <c r="M33" s="276">
        <f t="shared" si="3"/>
        <v>-1</v>
      </c>
      <c r="N33" s="277"/>
      <c r="O33" s="368">
        <v>12943483.4149132</v>
      </c>
      <c r="P33" s="274">
        <f>P34+P50</f>
        <v>0</v>
      </c>
      <c r="Q33" s="275">
        <f t="shared" si="4"/>
        <v>-12943483.4149132</v>
      </c>
      <c r="R33" s="276">
        <f t="shared" si="5"/>
        <v>-1</v>
      </c>
      <c r="S33" s="277"/>
      <c r="T33" s="274">
        <v>17305142.714913201</v>
      </c>
      <c r="U33" s="274">
        <f>U34+U50</f>
        <v>0</v>
      </c>
      <c r="V33" s="275">
        <f>U33-T33</f>
        <v>-17305142.714913201</v>
      </c>
      <c r="W33" s="276">
        <f t="shared" si="7"/>
        <v>-1</v>
      </c>
      <c r="X33" s="277"/>
      <c r="Y33" s="1"/>
    </row>
    <row r="34" spans="1:25" s="2" customFormat="1" ht="17.100000000000001" customHeight="1" x14ac:dyDescent="0.2">
      <c r="A34" s="123">
        <v>1100</v>
      </c>
      <c r="B34" s="124" t="s">
        <v>11</v>
      </c>
      <c r="C34" s="369">
        <f>C35+C39+C48+C49</f>
        <v>12926814.740000002</v>
      </c>
      <c r="D34" s="369">
        <v>13806054.964913199</v>
      </c>
      <c r="E34" s="369">
        <v>3353029.96</v>
      </c>
      <c r="F34" s="369">
        <f>F35+F39+F48</f>
        <v>0</v>
      </c>
      <c r="G34" s="173">
        <f t="shared" si="0"/>
        <v>-3353029.96</v>
      </c>
      <c r="H34" s="174">
        <f t="shared" si="1"/>
        <v>-1</v>
      </c>
      <c r="I34" s="334"/>
      <c r="J34" s="369">
        <v>6925762.4987391997</v>
      </c>
      <c r="K34" s="369">
        <f>K35+K39+K48</f>
        <v>0</v>
      </c>
      <c r="L34" s="173">
        <f t="shared" si="2"/>
        <v>-6925762.4987391997</v>
      </c>
      <c r="M34" s="174">
        <f t="shared" si="3"/>
        <v>-1</v>
      </c>
      <c r="N34" s="334"/>
      <c r="O34" s="369">
        <v>10356501.654913198</v>
      </c>
      <c r="P34" s="369">
        <f>P35+P39+P48</f>
        <v>0</v>
      </c>
      <c r="Q34" s="173">
        <f t="shared" si="4"/>
        <v>-10356501.654913198</v>
      </c>
      <c r="R34" s="174">
        <f t="shared" si="5"/>
        <v>-1</v>
      </c>
      <c r="S34" s="334"/>
      <c r="T34" s="369">
        <v>13806054.964913199</v>
      </c>
      <c r="U34" s="369">
        <f>U35+U39+U48</f>
        <v>0</v>
      </c>
      <c r="V34" s="173">
        <f t="shared" si="6"/>
        <v>-13806054.964913199</v>
      </c>
      <c r="W34" s="174">
        <f t="shared" si="7"/>
        <v>-1</v>
      </c>
      <c r="X34" s="334"/>
      <c r="Y34" s="1"/>
    </row>
    <row r="35" spans="1:25" ht="17.100000000000001" customHeight="1" x14ac:dyDescent="0.2">
      <c r="A35" s="156">
        <v>1110</v>
      </c>
      <c r="B35" s="157" t="s">
        <v>12</v>
      </c>
      <c r="C35" s="374">
        <f>C36+C38</f>
        <v>9475902.7200000007</v>
      </c>
      <c r="D35" s="374">
        <v>10286734.119999999</v>
      </c>
      <c r="E35" s="374">
        <v>2523805.14</v>
      </c>
      <c r="F35" s="374">
        <f>F36+F37+F38</f>
        <v>0</v>
      </c>
      <c r="G35" s="140">
        <f t="shared" si="0"/>
        <v>-2523805.14</v>
      </c>
      <c r="H35" s="141">
        <f t="shared" si="1"/>
        <v>-1</v>
      </c>
      <c r="I35" s="586"/>
      <c r="J35" s="374">
        <v>5121653.6400000006</v>
      </c>
      <c r="K35" s="374">
        <f>K36+K37+K38</f>
        <v>0</v>
      </c>
      <c r="L35" s="140">
        <f t="shared" si="2"/>
        <v>-5121653.6400000006</v>
      </c>
      <c r="M35" s="141">
        <f t="shared" si="3"/>
        <v>-1</v>
      </c>
      <c r="N35" s="586"/>
      <c r="O35" s="374">
        <v>7746886.8399999999</v>
      </c>
      <c r="P35" s="374">
        <f>P36+P37+P38</f>
        <v>0</v>
      </c>
      <c r="Q35" s="140">
        <f t="shared" si="4"/>
        <v>-7746886.8399999999</v>
      </c>
      <c r="R35" s="141">
        <f t="shared" si="5"/>
        <v>-1</v>
      </c>
      <c r="S35" s="586"/>
      <c r="T35" s="374">
        <v>10286734.119999999</v>
      </c>
      <c r="U35" s="374">
        <f>U36+U37+U38</f>
        <v>0</v>
      </c>
      <c r="V35" s="140">
        <f t="shared" si="6"/>
        <v>-10286734.119999999</v>
      </c>
      <c r="W35" s="141">
        <f t="shared" si="7"/>
        <v>-1</v>
      </c>
      <c r="X35" s="586"/>
    </row>
    <row r="36" spans="1:25" ht="17.100000000000001" customHeight="1" x14ac:dyDescent="0.2">
      <c r="A36" s="278">
        <v>1111</v>
      </c>
      <c r="B36" s="158" t="s">
        <v>275</v>
      </c>
      <c r="C36" s="370">
        <v>128989.8</v>
      </c>
      <c r="D36" s="370">
        <v>162702</v>
      </c>
      <c r="E36" s="370">
        <v>40668</v>
      </c>
      <c r="F36" s="139"/>
      <c r="G36" s="140">
        <f t="shared" si="0"/>
        <v>-40668</v>
      </c>
      <c r="H36" s="141">
        <f t="shared" si="1"/>
        <v>-1</v>
      </c>
      <c r="I36" s="586"/>
      <c r="J36" s="370">
        <v>81336</v>
      </c>
      <c r="K36" s="139"/>
      <c r="L36" s="140">
        <f t="shared" si="2"/>
        <v>-81336</v>
      </c>
      <c r="M36" s="141">
        <f t="shared" si="3"/>
        <v>-1</v>
      </c>
      <c r="N36" s="586"/>
      <c r="O36" s="370">
        <v>122004</v>
      </c>
      <c r="P36" s="139"/>
      <c r="Q36" s="140">
        <f t="shared" si="4"/>
        <v>-122004</v>
      </c>
      <c r="R36" s="141">
        <f t="shared" si="5"/>
        <v>-1</v>
      </c>
      <c r="S36" s="586"/>
      <c r="T36" s="370">
        <v>162702</v>
      </c>
      <c r="U36" s="139"/>
      <c r="V36" s="140">
        <f t="shared" si="6"/>
        <v>-162702</v>
      </c>
      <c r="W36" s="141">
        <f t="shared" si="7"/>
        <v>-1</v>
      </c>
      <c r="X36" s="586"/>
    </row>
    <row r="37" spans="1:25" ht="17.100000000000001" customHeight="1" x14ac:dyDescent="0.2">
      <c r="A37" s="278">
        <v>1112</v>
      </c>
      <c r="B37" s="158" t="s">
        <v>529</v>
      </c>
      <c r="C37" s="370"/>
      <c r="D37" s="370">
        <v>0</v>
      </c>
      <c r="E37" s="370">
        <v>0</v>
      </c>
      <c r="F37" s="139"/>
      <c r="G37" s="140"/>
      <c r="H37" s="141"/>
      <c r="I37" s="586"/>
      <c r="J37" s="370">
        <v>0</v>
      </c>
      <c r="K37" s="139"/>
      <c r="L37" s="140"/>
      <c r="M37" s="141"/>
      <c r="N37" s="586"/>
      <c r="O37" s="370">
        <v>0</v>
      </c>
      <c r="P37" s="139"/>
      <c r="Q37" s="140"/>
      <c r="R37" s="141"/>
      <c r="S37" s="586"/>
      <c r="T37" s="370">
        <v>0</v>
      </c>
      <c r="U37" s="139"/>
      <c r="V37" s="140"/>
      <c r="W37" s="141"/>
      <c r="X37" s="586"/>
    </row>
    <row r="38" spans="1:25" ht="17.100000000000001" customHeight="1" x14ac:dyDescent="0.2">
      <c r="A38" s="278">
        <v>1113</v>
      </c>
      <c r="B38" s="158" t="s">
        <v>276</v>
      </c>
      <c r="C38" s="371">
        <f>9346912.92</f>
        <v>9346912.9199999999</v>
      </c>
      <c r="D38" s="370">
        <v>10124032.119999999</v>
      </c>
      <c r="E38" s="370">
        <v>2483137.14</v>
      </c>
      <c r="F38" s="139"/>
      <c r="G38" s="140">
        <f t="shared" si="0"/>
        <v>-2483137.14</v>
      </c>
      <c r="H38" s="141">
        <f t="shared" si="1"/>
        <v>-1</v>
      </c>
      <c r="I38" s="586"/>
      <c r="J38" s="370">
        <v>5040317.6400000006</v>
      </c>
      <c r="K38" s="139"/>
      <c r="L38" s="140">
        <f t="shared" si="2"/>
        <v>-5040317.6400000006</v>
      </c>
      <c r="M38" s="141">
        <f t="shared" si="3"/>
        <v>-1</v>
      </c>
      <c r="N38" s="586"/>
      <c r="O38" s="370">
        <v>7624882.8399999999</v>
      </c>
      <c r="P38" s="139"/>
      <c r="Q38" s="140">
        <f t="shared" si="4"/>
        <v>-7624882.8399999999</v>
      </c>
      <c r="R38" s="141">
        <f t="shared" si="5"/>
        <v>-1</v>
      </c>
      <c r="S38" s="586"/>
      <c r="T38" s="370">
        <v>10124032.119999999</v>
      </c>
      <c r="U38" s="139"/>
      <c r="V38" s="140">
        <f t="shared" si="6"/>
        <v>-10124032.119999999</v>
      </c>
      <c r="W38" s="141">
        <f t="shared" si="7"/>
        <v>-1</v>
      </c>
      <c r="X38" s="586"/>
    </row>
    <row r="39" spans="1:25" s="279" customFormat="1" ht="17.100000000000001" customHeight="1" x14ac:dyDescent="0.2">
      <c r="A39" s="156">
        <v>1140</v>
      </c>
      <c r="B39" s="162" t="s">
        <v>125</v>
      </c>
      <c r="C39" s="376">
        <f>C40+C41+C42+C43+C44+C45+C46+C47</f>
        <v>3369308.54</v>
      </c>
      <c r="D39" s="375">
        <v>3435379.5749132</v>
      </c>
      <c r="E39" s="375">
        <v>815558.33000000007</v>
      </c>
      <c r="F39" s="375">
        <f>F40+F41+F42+F43+F44+F45+F46+F47</f>
        <v>0</v>
      </c>
      <c r="G39" s="147">
        <f t="shared" si="0"/>
        <v>-815558.33000000007</v>
      </c>
      <c r="H39" s="148">
        <f t="shared" si="1"/>
        <v>-1</v>
      </c>
      <c r="I39" s="587"/>
      <c r="J39" s="375">
        <v>1771576.9187391999</v>
      </c>
      <c r="K39" s="375">
        <f>K40+K41+K42+K43+K44+K45+K46+K47</f>
        <v>0</v>
      </c>
      <c r="L39" s="147">
        <f t="shared" si="2"/>
        <v>-1771576.9187391999</v>
      </c>
      <c r="M39" s="148">
        <f t="shared" si="3"/>
        <v>-1</v>
      </c>
      <c r="N39" s="587"/>
      <c r="O39" s="375">
        <v>2549288.3649131996</v>
      </c>
      <c r="P39" s="375">
        <f>P40+P41+P42+P43+P44+P45+P46+P47</f>
        <v>0</v>
      </c>
      <c r="Q39" s="147">
        <f t="shared" si="4"/>
        <v>-2549288.3649131996</v>
      </c>
      <c r="R39" s="148">
        <f t="shared" si="5"/>
        <v>-1</v>
      </c>
      <c r="S39" s="587"/>
      <c r="T39" s="375">
        <v>3435379.5749132</v>
      </c>
      <c r="U39" s="375">
        <f>U40+U41+U42+U43+U44+U45+U46+U47</f>
        <v>0</v>
      </c>
      <c r="V39" s="147">
        <f t="shared" si="6"/>
        <v>-3435379.5749132</v>
      </c>
      <c r="W39" s="148">
        <f t="shared" si="7"/>
        <v>-1</v>
      </c>
      <c r="X39" s="587"/>
      <c r="Y39" s="1"/>
    </row>
    <row r="40" spans="1:25" s="2" customFormat="1" ht="17.100000000000001" customHeight="1" x14ac:dyDescent="0.2">
      <c r="A40" s="278">
        <v>1141</v>
      </c>
      <c r="B40" s="159" t="s">
        <v>118</v>
      </c>
      <c r="C40" s="371">
        <v>586614.53</v>
      </c>
      <c r="D40" s="370">
        <v>636386.27</v>
      </c>
      <c r="E40" s="370">
        <v>161866.99</v>
      </c>
      <c r="F40" s="139"/>
      <c r="G40" s="140">
        <f t="shared" si="0"/>
        <v>-161866.99</v>
      </c>
      <c r="H40" s="141">
        <f t="shared" si="1"/>
        <v>-1</v>
      </c>
      <c r="I40" s="588"/>
      <c r="J40" s="370">
        <v>326647.57999999996</v>
      </c>
      <c r="K40" s="139"/>
      <c r="L40" s="140">
        <f t="shared" si="2"/>
        <v>-326647.57999999996</v>
      </c>
      <c r="M40" s="141">
        <f t="shared" si="3"/>
        <v>-1</v>
      </c>
      <c r="N40" s="588"/>
      <c r="O40" s="370">
        <v>478804.57999999996</v>
      </c>
      <c r="P40" s="139"/>
      <c r="Q40" s="140">
        <f t="shared" si="4"/>
        <v>-478804.57999999996</v>
      </c>
      <c r="R40" s="141">
        <f t="shared" si="5"/>
        <v>-1</v>
      </c>
      <c r="S40" s="588"/>
      <c r="T40" s="370">
        <v>636386.27</v>
      </c>
      <c r="U40" s="139"/>
      <c r="V40" s="140">
        <f t="shared" si="6"/>
        <v>-636386.27</v>
      </c>
      <c r="W40" s="141">
        <f t="shared" si="7"/>
        <v>-1</v>
      </c>
      <c r="X40" s="588"/>
      <c r="Y40" s="1"/>
    </row>
    <row r="41" spans="1:25" s="2" customFormat="1" ht="17.100000000000001" customHeight="1" x14ac:dyDescent="0.2">
      <c r="A41" s="278">
        <v>1142</v>
      </c>
      <c r="B41" s="159" t="s">
        <v>487</v>
      </c>
      <c r="C41" s="371">
        <v>861817.84</v>
      </c>
      <c r="D41" s="370">
        <v>932364.04999999993</v>
      </c>
      <c r="E41" s="370">
        <v>189366.81999999998</v>
      </c>
      <c r="F41" s="139"/>
      <c r="G41" s="140">
        <f t="shared" si="0"/>
        <v>-189366.81999999998</v>
      </c>
      <c r="H41" s="141">
        <f t="shared" si="1"/>
        <v>-1</v>
      </c>
      <c r="I41" s="588"/>
      <c r="J41" s="370">
        <v>515416.20999999996</v>
      </c>
      <c r="K41" s="139"/>
      <c r="L41" s="140">
        <f t="shared" si="2"/>
        <v>-515416.20999999996</v>
      </c>
      <c r="M41" s="141">
        <f t="shared" si="3"/>
        <v>-1</v>
      </c>
      <c r="N41" s="588"/>
      <c r="O41" s="370">
        <v>693808.84</v>
      </c>
      <c r="P41" s="139"/>
      <c r="Q41" s="140">
        <f t="shared" si="4"/>
        <v>-693808.84</v>
      </c>
      <c r="R41" s="141">
        <f t="shared" si="5"/>
        <v>-1</v>
      </c>
      <c r="S41" s="588"/>
      <c r="T41" s="370">
        <v>932364.04999999993</v>
      </c>
      <c r="U41" s="139"/>
      <c r="V41" s="140">
        <f t="shared" si="6"/>
        <v>-932364.04999999993</v>
      </c>
      <c r="W41" s="141">
        <f t="shared" si="7"/>
        <v>-1</v>
      </c>
      <c r="X41" s="588"/>
      <c r="Y41" s="1"/>
    </row>
    <row r="42" spans="1:25" s="2" customFormat="1" ht="17.100000000000001" customHeight="1" x14ac:dyDescent="0.2">
      <c r="A42" s="278">
        <v>1144</v>
      </c>
      <c r="B42" s="159" t="s">
        <v>13</v>
      </c>
      <c r="C42" s="554"/>
      <c r="D42" s="370">
        <v>0</v>
      </c>
      <c r="E42" s="370">
        <v>0</v>
      </c>
      <c r="F42" s="139"/>
      <c r="G42" s="140">
        <f t="shared" si="0"/>
        <v>0</v>
      </c>
      <c r="H42" s="141" t="str">
        <f t="shared" si="1"/>
        <v>-</v>
      </c>
      <c r="I42" s="588"/>
      <c r="J42" s="370">
        <v>0</v>
      </c>
      <c r="K42" s="139"/>
      <c r="L42" s="140">
        <f t="shared" si="2"/>
        <v>0</v>
      </c>
      <c r="M42" s="141" t="str">
        <f t="shared" si="3"/>
        <v>-</v>
      </c>
      <c r="N42" s="588"/>
      <c r="O42" s="370">
        <v>0</v>
      </c>
      <c r="P42" s="139"/>
      <c r="Q42" s="140">
        <f t="shared" si="4"/>
        <v>0</v>
      </c>
      <c r="R42" s="141" t="str">
        <f t="shared" si="5"/>
        <v>-</v>
      </c>
      <c r="S42" s="588"/>
      <c r="T42" s="370">
        <v>0</v>
      </c>
      <c r="U42" s="139"/>
      <c r="V42" s="140">
        <f t="shared" si="6"/>
        <v>0</v>
      </c>
      <c r="W42" s="141" t="str">
        <f t="shared" si="7"/>
        <v>-</v>
      </c>
      <c r="X42" s="588"/>
      <c r="Y42" s="1"/>
    </row>
    <row r="43" spans="1:25" s="2" customFormat="1" ht="31.5" x14ac:dyDescent="0.2">
      <c r="A43" s="278">
        <v>1145</v>
      </c>
      <c r="B43" s="159" t="s">
        <v>126</v>
      </c>
      <c r="C43" s="371">
        <v>1590011.87</v>
      </c>
      <c r="D43" s="370">
        <v>1545787.94</v>
      </c>
      <c r="E43" s="370">
        <v>399698.1</v>
      </c>
      <c r="F43" s="139"/>
      <c r="G43" s="140">
        <f t="shared" si="0"/>
        <v>-399698.1</v>
      </c>
      <c r="H43" s="141">
        <f t="shared" si="1"/>
        <v>-1</v>
      </c>
      <c r="I43" s="588"/>
      <c r="J43" s="370">
        <v>752656.02999999991</v>
      </c>
      <c r="K43" s="139"/>
      <c r="L43" s="140">
        <f t="shared" si="2"/>
        <v>-752656.02999999991</v>
      </c>
      <c r="M43" s="141">
        <f t="shared" si="3"/>
        <v>-1</v>
      </c>
      <c r="N43" s="588"/>
      <c r="O43" s="370">
        <v>1128378.3299999998</v>
      </c>
      <c r="P43" s="139"/>
      <c r="Q43" s="140">
        <f t="shared" si="4"/>
        <v>-1128378.3299999998</v>
      </c>
      <c r="R43" s="141">
        <f t="shared" si="5"/>
        <v>-1</v>
      </c>
      <c r="S43" s="588"/>
      <c r="T43" s="370">
        <v>1545787.94</v>
      </c>
      <c r="U43" s="139"/>
      <c r="V43" s="140">
        <f t="shared" si="6"/>
        <v>-1545787.94</v>
      </c>
      <c r="W43" s="141">
        <f t="shared" si="7"/>
        <v>-1</v>
      </c>
      <c r="X43" s="588"/>
      <c r="Y43" s="1"/>
    </row>
    <row r="44" spans="1:25" s="2" customFormat="1" ht="31.5" x14ac:dyDescent="0.2">
      <c r="A44" s="278">
        <v>1146</v>
      </c>
      <c r="B44" s="159" t="s">
        <v>14</v>
      </c>
      <c r="C44" s="371">
        <v>71716.649999999994</v>
      </c>
      <c r="D44" s="370">
        <v>86480.154913200007</v>
      </c>
      <c r="E44" s="370">
        <v>20838.150000000001</v>
      </c>
      <c r="F44" s="139"/>
      <c r="G44" s="140">
        <f t="shared" si="0"/>
        <v>-20838.150000000001</v>
      </c>
      <c r="H44" s="141">
        <f t="shared" si="1"/>
        <v>-1</v>
      </c>
      <c r="I44" s="588"/>
      <c r="J44" s="370">
        <v>44467.008739200006</v>
      </c>
      <c r="K44" s="139"/>
      <c r="L44" s="140">
        <f t="shared" si="2"/>
        <v>-44467.008739200006</v>
      </c>
      <c r="M44" s="141">
        <f t="shared" si="3"/>
        <v>-1</v>
      </c>
      <c r="N44" s="588"/>
      <c r="O44" s="370">
        <v>65479.404913200007</v>
      </c>
      <c r="P44" s="139"/>
      <c r="Q44" s="140">
        <f t="shared" si="4"/>
        <v>-65479.404913200007</v>
      </c>
      <c r="R44" s="141">
        <f t="shared" si="5"/>
        <v>-1</v>
      </c>
      <c r="S44" s="588"/>
      <c r="T44" s="370">
        <v>86480.154913200007</v>
      </c>
      <c r="U44" s="139"/>
      <c r="V44" s="140">
        <f t="shared" si="6"/>
        <v>-86480.154913200007</v>
      </c>
      <c r="W44" s="141">
        <f t="shared" si="7"/>
        <v>-1</v>
      </c>
      <c r="X44" s="588"/>
      <c r="Y44" s="1"/>
    </row>
    <row r="45" spans="1:25" s="2" customFormat="1" ht="17.100000000000001" customHeight="1" x14ac:dyDescent="0.2">
      <c r="A45" s="278">
        <v>1147</v>
      </c>
      <c r="B45" s="159" t="s">
        <v>15</v>
      </c>
      <c r="C45" s="371">
        <v>69273.789999999994</v>
      </c>
      <c r="D45" s="370">
        <v>69114.920000000013</v>
      </c>
      <c r="E45" s="370">
        <v>17884.47</v>
      </c>
      <c r="F45" s="139"/>
      <c r="G45" s="140">
        <f t="shared" si="0"/>
        <v>-17884.47</v>
      </c>
      <c r="H45" s="141">
        <f t="shared" si="1"/>
        <v>-1</v>
      </c>
      <c r="I45" s="588"/>
      <c r="J45" s="370">
        <v>35945.670000000006</v>
      </c>
      <c r="K45" s="139"/>
      <c r="L45" s="140">
        <f t="shared" si="2"/>
        <v>-35945.670000000006</v>
      </c>
      <c r="M45" s="141">
        <f t="shared" si="3"/>
        <v>-1</v>
      </c>
      <c r="N45" s="588"/>
      <c r="O45" s="370">
        <v>50415.650000000009</v>
      </c>
      <c r="P45" s="139"/>
      <c r="Q45" s="140">
        <f t="shared" si="4"/>
        <v>-50415.650000000009</v>
      </c>
      <c r="R45" s="141">
        <f t="shared" si="5"/>
        <v>-1</v>
      </c>
      <c r="S45" s="588"/>
      <c r="T45" s="370">
        <v>69114.920000000013</v>
      </c>
      <c r="U45" s="139"/>
      <c r="V45" s="140">
        <f t="shared" si="6"/>
        <v>-69114.920000000013</v>
      </c>
      <c r="W45" s="141">
        <f t="shared" si="7"/>
        <v>-1</v>
      </c>
      <c r="X45" s="588"/>
      <c r="Y45" s="1"/>
    </row>
    <row r="46" spans="1:25" s="2" customFormat="1" ht="17.100000000000001" customHeight="1" x14ac:dyDescent="0.2">
      <c r="A46" s="278">
        <v>1148</v>
      </c>
      <c r="B46" s="159" t="s">
        <v>127</v>
      </c>
      <c r="C46" s="371">
        <v>44674.34</v>
      </c>
      <c r="D46" s="370">
        <v>38566</v>
      </c>
      <c r="E46" s="370">
        <v>0</v>
      </c>
      <c r="F46" s="139"/>
      <c r="G46" s="140">
        <f t="shared" si="0"/>
        <v>0</v>
      </c>
      <c r="H46" s="141" t="str">
        <f t="shared" si="1"/>
        <v>-</v>
      </c>
      <c r="I46" s="588"/>
      <c r="J46" s="370">
        <v>38566</v>
      </c>
      <c r="K46" s="139"/>
      <c r="L46" s="140">
        <f t="shared" si="2"/>
        <v>-38566</v>
      </c>
      <c r="M46" s="141">
        <f t="shared" si="3"/>
        <v>-1</v>
      </c>
      <c r="N46" s="588"/>
      <c r="O46" s="370">
        <v>38566</v>
      </c>
      <c r="P46" s="139"/>
      <c r="Q46" s="140">
        <f t="shared" si="4"/>
        <v>-38566</v>
      </c>
      <c r="R46" s="141">
        <f t="shared" si="5"/>
        <v>-1</v>
      </c>
      <c r="S46" s="588"/>
      <c r="T46" s="370">
        <v>38566</v>
      </c>
      <c r="U46" s="139"/>
      <c r="V46" s="140">
        <f t="shared" si="6"/>
        <v>-38566</v>
      </c>
      <c r="W46" s="141">
        <f t="shared" si="7"/>
        <v>-1</v>
      </c>
      <c r="X46" s="588"/>
      <c r="Y46" s="1"/>
    </row>
    <row r="47" spans="1:25" s="2" customFormat="1" ht="31.5" x14ac:dyDescent="0.2">
      <c r="A47" s="278">
        <v>1149</v>
      </c>
      <c r="B47" s="159" t="s">
        <v>16</v>
      </c>
      <c r="C47" s="371">
        <v>145199.51999999999</v>
      </c>
      <c r="D47" s="371">
        <v>126680.23999999999</v>
      </c>
      <c r="E47" s="371">
        <v>25903.8</v>
      </c>
      <c r="F47" s="139"/>
      <c r="G47" s="160">
        <f t="shared" si="0"/>
        <v>-25903.8</v>
      </c>
      <c r="H47" s="161">
        <f t="shared" si="1"/>
        <v>-1</v>
      </c>
      <c r="I47" s="589"/>
      <c r="J47" s="371">
        <v>57878.42</v>
      </c>
      <c r="K47" s="139"/>
      <c r="L47" s="160">
        <f t="shared" si="2"/>
        <v>-57878.42</v>
      </c>
      <c r="M47" s="161">
        <f t="shared" si="3"/>
        <v>-1</v>
      </c>
      <c r="N47" s="589"/>
      <c r="O47" s="371">
        <v>93835.56</v>
      </c>
      <c r="P47" s="139"/>
      <c r="Q47" s="160">
        <f t="shared" si="4"/>
        <v>-93835.56</v>
      </c>
      <c r="R47" s="161">
        <f t="shared" si="5"/>
        <v>-1</v>
      </c>
      <c r="S47" s="589"/>
      <c r="T47" s="371">
        <v>126680.23999999999</v>
      </c>
      <c r="U47" s="139"/>
      <c r="V47" s="160">
        <f t="shared" si="6"/>
        <v>-126680.23999999999</v>
      </c>
      <c r="W47" s="161">
        <f t="shared" si="7"/>
        <v>-1</v>
      </c>
      <c r="X47" s="589"/>
      <c r="Y47" s="1"/>
    </row>
    <row r="48" spans="1:25" s="2" customFormat="1" ht="31.5" x14ac:dyDescent="0.2">
      <c r="A48" s="437">
        <v>1150</v>
      </c>
      <c r="B48" s="162" t="s">
        <v>17</v>
      </c>
      <c r="C48" s="373">
        <v>81603.48</v>
      </c>
      <c r="D48" s="372">
        <v>83941.27</v>
      </c>
      <c r="E48" s="372">
        <v>13666.49</v>
      </c>
      <c r="F48" s="146"/>
      <c r="G48" s="147">
        <f t="shared" si="0"/>
        <v>-13666.49</v>
      </c>
      <c r="H48" s="148">
        <f t="shared" si="1"/>
        <v>-1</v>
      </c>
      <c r="I48" s="149"/>
      <c r="J48" s="372">
        <v>32531.940000000002</v>
      </c>
      <c r="K48" s="146"/>
      <c r="L48" s="147">
        <f t="shared" si="2"/>
        <v>-32531.940000000002</v>
      </c>
      <c r="M48" s="148">
        <f t="shared" si="3"/>
        <v>-1</v>
      </c>
      <c r="N48" s="149"/>
      <c r="O48" s="372">
        <v>60326.450000000004</v>
      </c>
      <c r="P48" s="146"/>
      <c r="Q48" s="147">
        <f t="shared" si="4"/>
        <v>-60326.450000000004</v>
      </c>
      <c r="R48" s="148">
        <f t="shared" si="5"/>
        <v>-1</v>
      </c>
      <c r="S48" s="149"/>
      <c r="T48" s="372">
        <v>83941.27</v>
      </c>
      <c r="U48" s="146"/>
      <c r="V48" s="147">
        <f t="shared" si="6"/>
        <v>-83941.27</v>
      </c>
      <c r="W48" s="148">
        <f t="shared" si="7"/>
        <v>-1</v>
      </c>
      <c r="X48" s="149"/>
      <c r="Y48" s="1"/>
    </row>
    <row r="49" spans="1:25" s="2" customFormat="1" ht="17.100000000000001" customHeight="1" x14ac:dyDescent="0.2">
      <c r="A49" s="156">
        <v>1170</v>
      </c>
      <c r="B49" s="165" t="s">
        <v>18</v>
      </c>
      <c r="C49" s="552"/>
      <c r="D49" s="372">
        <v>0</v>
      </c>
      <c r="E49" s="372">
        <v>0</v>
      </c>
      <c r="F49" s="146"/>
      <c r="G49" s="147">
        <f t="shared" si="0"/>
        <v>0</v>
      </c>
      <c r="H49" s="148" t="str">
        <f t="shared" si="1"/>
        <v>-</v>
      </c>
      <c r="I49" s="149"/>
      <c r="J49" s="372">
        <v>0</v>
      </c>
      <c r="K49" s="146"/>
      <c r="L49" s="147">
        <f t="shared" si="2"/>
        <v>0</v>
      </c>
      <c r="M49" s="148" t="str">
        <f t="shared" si="3"/>
        <v>-</v>
      </c>
      <c r="N49" s="149"/>
      <c r="O49" s="372">
        <v>0</v>
      </c>
      <c r="P49" s="146"/>
      <c r="Q49" s="147">
        <f t="shared" si="4"/>
        <v>0</v>
      </c>
      <c r="R49" s="148" t="str">
        <f t="shared" si="5"/>
        <v>-</v>
      </c>
      <c r="S49" s="149"/>
      <c r="T49" s="372">
        <v>0</v>
      </c>
      <c r="U49" s="146"/>
      <c r="V49" s="147">
        <f t="shared" si="6"/>
        <v>0</v>
      </c>
      <c r="W49" s="148" t="str">
        <f t="shared" si="7"/>
        <v>-</v>
      </c>
      <c r="X49" s="149"/>
      <c r="Y49" s="1"/>
    </row>
    <row r="50" spans="1:25" s="2" customFormat="1" ht="47.25" x14ac:dyDescent="0.2">
      <c r="A50" s="123">
        <v>1200</v>
      </c>
      <c r="B50" s="178" t="s">
        <v>19</v>
      </c>
      <c r="C50" s="369">
        <f>C51+C52</f>
        <v>3278327.9699999997</v>
      </c>
      <c r="D50" s="369">
        <v>3499087.75</v>
      </c>
      <c r="E50" s="369">
        <v>872340.47</v>
      </c>
      <c r="F50" s="369">
        <f>F51+F52</f>
        <v>0</v>
      </c>
      <c r="G50" s="173">
        <f t="shared" si="0"/>
        <v>-872340.47</v>
      </c>
      <c r="H50" s="174">
        <f t="shared" si="1"/>
        <v>-1</v>
      </c>
      <c r="I50" s="183"/>
      <c r="J50" s="369">
        <v>1744841.06</v>
      </c>
      <c r="K50" s="369">
        <f>K51+K52</f>
        <v>0</v>
      </c>
      <c r="L50" s="173">
        <f t="shared" si="2"/>
        <v>-1744841.06</v>
      </c>
      <c r="M50" s="174">
        <f t="shared" si="3"/>
        <v>-1</v>
      </c>
      <c r="N50" s="183"/>
      <c r="O50" s="369">
        <v>2586981.7599999998</v>
      </c>
      <c r="P50" s="369">
        <f>P51+P52</f>
        <v>0</v>
      </c>
      <c r="Q50" s="173">
        <f t="shared" si="4"/>
        <v>-2586981.7599999998</v>
      </c>
      <c r="R50" s="174">
        <f t="shared" si="5"/>
        <v>-1</v>
      </c>
      <c r="S50" s="183"/>
      <c r="T50" s="369">
        <v>3499087.75</v>
      </c>
      <c r="U50" s="369">
        <f>U51+U52</f>
        <v>0</v>
      </c>
      <c r="V50" s="173">
        <f t="shared" si="6"/>
        <v>-3499087.75</v>
      </c>
      <c r="W50" s="174">
        <f t="shared" si="7"/>
        <v>-1</v>
      </c>
      <c r="X50" s="183"/>
      <c r="Y50" s="1"/>
    </row>
    <row r="51" spans="1:25" s="2" customFormat="1" ht="31.5" x14ac:dyDescent="0.2">
      <c r="A51" s="156">
        <v>1210</v>
      </c>
      <c r="B51" s="162" t="s">
        <v>496</v>
      </c>
      <c r="C51" s="372">
        <v>3066267.78</v>
      </c>
      <c r="D51" s="372">
        <v>3285066.83</v>
      </c>
      <c r="E51" s="372">
        <v>798628.24</v>
      </c>
      <c r="F51" s="372"/>
      <c r="G51" s="147">
        <f t="shared" si="0"/>
        <v>-798628.24</v>
      </c>
      <c r="H51" s="148">
        <f t="shared" si="1"/>
        <v>-1</v>
      </c>
      <c r="I51" s="149"/>
      <c r="J51" s="372">
        <v>1640854.27</v>
      </c>
      <c r="K51" s="372"/>
      <c r="L51" s="147">
        <f t="shared" si="2"/>
        <v>-1640854.27</v>
      </c>
      <c r="M51" s="148">
        <f t="shared" si="3"/>
        <v>-1</v>
      </c>
      <c r="N51" s="149"/>
      <c r="O51" s="372">
        <v>2450659.88</v>
      </c>
      <c r="P51" s="372"/>
      <c r="Q51" s="147">
        <f t="shared" si="4"/>
        <v>-2450659.88</v>
      </c>
      <c r="R51" s="148">
        <f t="shared" si="5"/>
        <v>-1</v>
      </c>
      <c r="S51" s="149"/>
      <c r="T51" s="372">
        <v>3285066.83</v>
      </c>
      <c r="U51" s="372"/>
      <c r="V51" s="147">
        <f t="shared" si="6"/>
        <v>-3285066.83</v>
      </c>
      <c r="W51" s="148">
        <f t="shared" si="7"/>
        <v>-1</v>
      </c>
      <c r="X51" s="149"/>
      <c r="Y51" s="1"/>
    </row>
    <row r="52" spans="1:25" s="2" customFormat="1" ht="31.5" customHeight="1" x14ac:dyDescent="0.2">
      <c r="A52" s="156">
        <v>1220</v>
      </c>
      <c r="B52" s="162" t="s">
        <v>497</v>
      </c>
      <c r="C52" s="375">
        <f>C53+C54+C55+C56+C57</f>
        <v>212060.19</v>
      </c>
      <c r="D52" s="375">
        <v>214020.91999999998</v>
      </c>
      <c r="E52" s="375">
        <v>73712.23000000001</v>
      </c>
      <c r="F52" s="375">
        <f>F53+F54+F55+F56+F57</f>
        <v>0</v>
      </c>
      <c r="G52" s="147">
        <f t="shared" si="0"/>
        <v>-73712.23000000001</v>
      </c>
      <c r="H52" s="148">
        <f t="shared" si="1"/>
        <v>-1</v>
      </c>
      <c r="I52" s="597"/>
      <c r="J52" s="375">
        <v>103986.79000000001</v>
      </c>
      <c r="K52" s="375">
        <f>K53+K54+K55+K56+K57</f>
        <v>0</v>
      </c>
      <c r="L52" s="147">
        <f t="shared" si="2"/>
        <v>-103986.79000000001</v>
      </c>
      <c r="M52" s="148">
        <f t="shared" si="3"/>
        <v>-1</v>
      </c>
      <c r="N52" s="593"/>
      <c r="O52" s="375">
        <v>136321.88</v>
      </c>
      <c r="P52" s="375">
        <f>P53+P54+P55+P56+P57</f>
        <v>0</v>
      </c>
      <c r="Q52" s="147">
        <f t="shared" si="4"/>
        <v>-136321.88</v>
      </c>
      <c r="R52" s="148">
        <f t="shared" si="5"/>
        <v>-1</v>
      </c>
      <c r="S52" s="593"/>
      <c r="T52" s="375">
        <v>214020.91999999998</v>
      </c>
      <c r="U52" s="375">
        <f>U53+U54+U55+U56+U57</f>
        <v>0</v>
      </c>
      <c r="V52" s="147">
        <f t="shared" si="6"/>
        <v>-214020.91999999998</v>
      </c>
      <c r="W52" s="148">
        <f t="shared" si="7"/>
        <v>-1</v>
      </c>
      <c r="X52" s="593"/>
      <c r="Y52" s="1"/>
    </row>
    <row r="53" spans="1:25" s="2" customFormat="1" ht="47.25" x14ac:dyDescent="0.2">
      <c r="A53" s="278">
        <v>1221</v>
      </c>
      <c r="B53" s="159" t="s">
        <v>20</v>
      </c>
      <c r="C53" s="139">
        <v>211900.19</v>
      </c>
      <c r="D53" s="370">
        <v>213880.91999999998</v>
      </c>
      <c r="E53" s="370">
        <v>73652.23000000001</v>
      </c>
      <c r="F53" s="370"/>
      <c r="G53" s="140">
        <f t="shared" si="0"/>
        <v>-73652.23000000001</v>
      </c>
      <c r="H53" s="141">
        <f t="shared" si="1"/>
        <v>-1</v>
      </c>
      <c r="I53" s="598"/>
      <c r="J53" s="370">
        <v>103866.79000000001</v>
      </c>
      <c r="K53" s="370"/>
      <c r="L53" s="140">
        <f t="shared" si="2"/>
        <v>-103866.79000000001</v>
      </c>
      <c r="M53" s="141">
        <f t="shared" si="3"/>
        <v>-1</v>
      </c>
      <c r="N53" s="594"/>
      <c r="O53" s="370">
        <v>136181.88</v>
      </c>
      <c r="P53" s="370"/>
      <c r="Q53" s="140">
        <f t="shared" si="4"/>
        <v>-136181.88</v>
      </c>
      <c r="R53" s="141">
        <f t="shared" si="5"/>
        <v>-1</v>
      </c>
      <c r="S53" s="594"/>
      <c r="T53" s="370">
        <v>213880.91999999998</v>
      </c>
      <c r="U53" s="370"/>
      <c r="V53" s="140">
        <f t="shared" si="6"/>
        <v>-213880.91999999998</v>
      </c>
      <c r="W53" s="141">
        <f t="shared" si="7"/>
        <v>-1</v>
      </c>
      <c r="X53" s="594"/>
      <c r="Y53" s="1"/>
    </row>
    <row r="54" spans="1:25" s="2" customFormat="1" ht="31.5" x14ac:dyDescent="0.2">
      <c r="A54" s="278">
        <v>1222</v>
      </c>
      <c r="B54" s="159" t="s">
        <v>21</v>
      </c>
      <c r="C54" s="139"/>
      <c r="D54" s="370">
        <v>0</v>
      </c>
      <c r="E54" s="370">
        <v>0</v>
      </c>
      <c r="F54" s="139"/>
      <c r="G54" s="140">
        <f t="shared" si="0"/>
        <v>0</v>
      </c>
      <c r="H54" s="141" t="str">
        <f t="shared" si="1"/>
        <v>-</v>
      </c>
      <c r="I54" s="598"/>
      <c r="J54" s="370">
        <v>0</v>
      </c>
      <c r="K54" s="139"/>
      <c r="L54" s="140">
        <f t="shared" si="2"/>
        <v>0</v>
      </c>
      <c r="M54" s="141" t="str">
        <f t="shared" si="3"/>
        <v>-</v>
      </c>
      <c r="N54" s="594"/>
      <c r="O54" s="370">
        <v>0</v>
      </c>
      <c r="P54" s="139"/>
      <c r="Q54" s="140">
        <f t="shared" si="4"/>
        <v>0</v>
      </c>
      <c r="R54" s="141" t="str">
        <f t="shared" si="5"/>
        <v>-</v>
      </c>
      <c r="S54" s="594"/>
      <c r="T54" s="139">
        <v>0</v>
      </c>
      <c r="U54" s="139"/>
      <c r="V54" s="140">
        <f t="shared" si="6"/>
        <v>0</v>
      </c>
      <c r="W54" s="141" t="str">
        <f t="shared" si="7"/>
        <v>-</v>
      </c>
      <c r="X54" s="594"/>
      <c r="Y54" s="1"/>
    </row>
    <row r="55" spans="1:25" s="2" customFormat="1" x14ac:dyDescent="0.2">
      <c r="A55" s="278">
        <v>1223</v>
      </c>
      <c r="B55" s="48" t="s">
        <v>22</v>
      </c>
      <c r="C55" s="139"/>
      <c r="D55" s="370">
        <v>0</v>
      </c>
      <c r="E55" s="370">
        <v>0</v>
      </c>
      <c r="F55" s="139"/>
      <c r="G55" s="140">
        <f t="shared" si="0"/>
        <v>0</v>
      </c>
      <c r="H55" s="141" t="str">
        <f t="shared" si="1"/>
        <v>-</v>
      </c>
      <c r="I55" s="598"/>
      <c r="J55" s="370">
        <v>0</v>
      </c>
      <c r="K55" s="139"/>
      <c r="L55" s="140">
        <f t="shared" si="2"/>
        <v>0</v>
      </c>
      <c r="M55" s="141" t="str">
        <f t="shared" si="3"/>
        <v>-</v>
      </c>
      <c r="N55" s="594"/>
      <c r="O55" s="370">
        <v>0</v>
      </c>
      <c r="P55" s="139"/>
      <c r="Q55" s="140">
        <f t="shared" si="4"/>
        <v>0</v>
      </c>
      <c r="R55" s="141" t="str">
        <f t="shared" si="5"/>
        <v>-</v>
      </c>
      <c r="S55" s="594"/>
      <c r="T55" s="139">
        <v>0</v>
      </c>
      <c r="U55" s="139"/>
      <c r="V55" s="140">
        <f t="shared" si="6"/>
        <v>0</v>
      </c>
      <c r="W55" s="141" t="str">
        <f t="shared" si="7"/>
        <v>-</v>
      </c>
      <c r="X55" s="594"/>
      <c r="Y55" s="1"/>
    </row>
    <row r="56" spans="1:25" s="2" customFormat="1" ht="31.5" x14ac:dyDescent="0.2">
      <c r="A56" s="278">
        <v>1227</v>
      </c>
      <c r="B56" s="159" t="s">
        <v>23</v>
      </c>
      <c r="C56" s="139"/>
      <c r="D56" s="370">
        <v>0</v>
      </c>
      <c r="E56" s="370">
        <v>0</v>
      </c>
      <c r="F56" s="139"/>
      <c r="G56" s="140">
        <f t="shared" si="0"/>
        <v>0</v>
      </c>
      <c r="H56" s="141" t="str">
        <f t="shared" si="1"/>
        <v>-</v>
      </c>
      <c r="I56" s="598"/>
      <c r="J56" s="370">
        <v>0</v>
      </c>
      <c r="K56" s="139"/>
      <c r="L56" s="140">
        <f t="shared" si="2"/>
        <v>0</v>
      </c>
      <c r="M56" s="141" t="str">
        <f t="shared" si="3"/>
        <v>-</v>
      </c>
      <c r="N56" s="594"/>
      <c r="O56" s="370">
        <v>0</v>
      </c>
      <c r="P56" s="139"/>
      <c r="Q56" s="140">
        <f t="shared" si="4"/>
        <v>0</v>
      </c>
      <c r="R56" s="141" t="str">
        <f t="shared" si="5"/>
        <v>-</v>
      </c>
      <c r="S56" s="594"/>
      <c r="T56" s="139">
        <v>0</v>
      </c>
      <c r="U56" s="139"/>
      <c r="V56" s="140">
        <f t="shared" si="6"/>
        <v>0</v>
      </c>
      <c r="W56" s="141" t="str">
        <f t="shared" si="7"/>
        <v>-</v>
      </c>
      <c r="X56" s="594"/>
      <c r="Y56" s="1"/>
    </row>
    <row r="57" spans="1:25" s="2" customFormat="1" ht="47.25" x14ac:dyDescent="0.2">
      <c r="A57" s="278">
        <v>1228</v>
      </c>
      <c r="B57" s="159" t="s">
        <v>277</v>
      </c>
      <c r="C57" s="139">
        <v>160</v>
      </c>
      <c r="D57" s="370">
        <v>140</v>
      </c>
      <c r="E57" s="370">
        <v>60</v>
      </c>
      <c r="F57" s="139"/>
      <c r="G57" s="140">
        <f t="shared" si="0"/>
        <v>-60</v>
      </c>
      <c r="H57" s="141">
        <f t="shared" si="1"/>
        <v>-1</v>
      </c>
      <c r="I57" s="599"/>
      <c r="J57" s="370">
        <v>120</v>
      </c>
      <c r="K57" s="139"/>
      <c r="L57" s="140">
        <f t="shared" si="2"/>
        <v>-120</v>
      </c>
      <c r="M57" s="141">
        <f t="shared" si="3"/>
        <v>-1</v>
      </c>
      <c r="N57" s="595"/>
      <c r="O57" s="371">
        <v>140</v>
      </c>
      <c r="P57" s="139"/>
      <c r="Q57" s="140">
        <f t="shared" si="4"/>
        <v>-140</v>
      </c>
      <c r="R57" s="141">
        <f t="shared" si="5"/>
        <v>-1</v>
      </c>
      <c r="S57" s="595"/>
      <c r="T57" s="139">
        <v>140</v>
      </c>
      <c r="U57" s="139"/>
      <c r="V57" s="140">
        <f t="shared" si="6"/>
        <v>-140</v>
      </c>
      <c r="W57" s="141">
        <f t="shared" si="7"/>
        <v>-1</v>
      </c>
      <c r="X57" s="595"/>
      <c r="Y57" s="1"/>
    </row>
    <row r="58" spans="1:25" s="2" customFormat="1" ht="17.100000000000001" customHeight="1" x14ac:dyDescent="0.2">
      <c r="A58" s="273">
        <v>2000</v>
      </c>
      <c r="B58" s="283" t="s">
        <v>24</v>
      </c>
      <c r="C58" s="274">
        <f>C59+C66+C103+C129+C139</f>
        <v>10427954.24</v>
      </c>
      <c r="D58" s="368">
        <v>10799818.289999999</v>
      </c>
      <c r="E58" s="368">
        <v>2974251.7800000003</v>
      </c>
      <c r="F58" s="274">
        <f>F59+F66+F103+F129+F139</f>
        <v>0</v>
      </c>
      <c r="G58" s="275">
        <f>F58-E58</f>
        <v>-2974251.7800000003</v>
      </c>
      <c r="H58" s="276">
        <f>IFERROR(G58/ABS(E58), "-")</f>
        <v>-1</v>
      </c>
      <c r="I58" s="274"/>
      <c r="J58" s="368">
        <v>5384176.7800000003</v>
      </c>
      <c r="K58" s="274">
        <f>K59+K66+K103+K129+K139</f>
        <v>0</v>
      </c>
      <c r="L58" s="275">
        <f t="shared" si="2"/>
        <v>-5384176.7800000003</v>
      </c>
      <c r="M58" s="276">
        <f t="shared" si="3"/>
        <v>-1</v>
      </c>
      <c r="N58" s="274"/>
      <c r="O58" s="368">
        <v>7808215.4199999999</v>
      </c>
      <c r="P58" s="274">
        <f>P59+P66+P103+P129+P139</f>
        <v>0</v>
      </c>
      <c r="Q58" s="275">
        <f>P58-O58</f>
        <v>-7808215.4199999999</v>
      </c>
      <c r="R58" s="276">
        <f t="shared" si="5"/>
        <v>-1</v>
      </c>
      <c r="S58" s="274"/>
      <c r="T58" s="274">
        <v>10799818.289999999</v>
      </c>
      <c r="U58" s="274">
        <f>U59+U66+U103+U129+U139</f>
        <v>0</v>
      </c>
      <c r="V58" s="275">
        <f>U58-T58</f>
        <v>-10799818.289999999</v>
      </c>
      <c r="W58" s="276">
        <f t="shared" si="7"/>
        <v>-1</v>
      </c>
      <c r="X58" s="274"/>
      <c r="Y58" s="1"/>
    </row>
    <row r="59" spans="1:25" s="2" customFormat="1" ht="31.5" x14ac:dyDescent="0.2">
      <c r="A59" s="123">
        <v>2100</v>
      </c>
      <c r="B59" s="176" t="s">
        <v>128</v>
      </c>
      <c r="C59" s="172">
        <f>C60+C63</f>
        <v>5194.03</v>
      </c>
      <c r="D59" s="369">
        <v>5194.28</v>
      </c>
      <c r="E59" s="369">
        <v>2800.36</v>
      </c>
      <c r="F59" s="172">
        <f>F60+F63</f>
        <v>0</v>
      </c>
      <c r="G59" s="173">
        <f>F59-E59</f>
        <v>-2800.36</v>
      </c>
      <c r="H59" s="174">
        <f t="shared" si="1"/>
        <v>-1</v>
      </c>
      <c r="I59" s="183"/>
      <c r="J59" s="369">
        <v>2800.36</v>
      </c>
      <c r="K59" s="172">
        <f>K60+K63</f>
        <v>0</v>
      </c>
      <c r="L59" s="173">
        <f t="shared" si="2"/>
        <v>-2800.36</v>
      </c>
      <c r="M59" s="174">
        <f t="shared" si="3"/>
        <v>-1</v>
      </c>
      <c r="N59" s="183"/>
      <c r="O59" s="369">
        <v>4113.32</v>
      </c>
      <c r="P59" s="172">
        <f>P60+P63</f>
        <v>0</v>
      </c>
      <c r="Q59" s="173">
        <f>P59-O59</f>
        <v>-4113.32</v>
      </c>
      <c r="R59" s="174">
        <f t="shared" si="5"/>
        <v>-1</v>
      </c>
      <c r="S59" s="183"/>
      <c r="T59" s="172">
        <v>5194.28</v>
      </c>
      <c r="U59" s="172">
        <f>U60+U63</f>
        <v>0</v>
      </c>
      <c r="V59" s="173">
        <f t="shared" si="6"/>
        <v>-5194.28</v>
      </c>
      <c r="W59" s="174">
        <f t="shared" si="7"/>
        <v>-1</v>
      </c>
      <c r="X59" s="183"/>
      <c r="Y59" s="1"/>
    </row>
    <row r="60" spans="1:25" s="279" customFormat="1" ht="31.5" x14ac:dyDescent="0.2">
      <c r="A60" s="156">
        <v>2110</v>
      </c>
      <c r="B60" s="145" t="s">
        <v>25</v>
      </c>
      <c r="C60" s="282">
        <f>C61+C62</f>
        <v>450</v>
      </c>
      <c r="D60" s="375">
        <v>450</v>
      </c>
      <c r="E60" s="375">
        <v>0</v>
      </c>
      <c r="F60" s="282">
        <f t="shared" ref="F60:N60" si="21">F61+F62</f>
        <v>0</v>
      </c>
      <c r="G60" s="282">
        <f t="shared" si="21"/>
        <v>0</v>
      </c>
      <c r="H60" s="282">
        <f t="shared" si="21"/>
        <v>0</v>
      </c>
      <c r="I60" s="282">
        <f t="shared" si="21"/>
        <v>0</v>
      </c>
      <c r="J60" s="375">
        <v>0</v>
      </c>
      <c r="K60" s="282">
        <f t="shared" ref="K60" si="22">K61+K62</f>
        <v>0</v>
      </c>
      <c r="L60" s="282">
        <f t="shared" si="21"/>
        <v>0</v>
      </c>
      <c r="M60" s="282">
        <f t="shared" si="21"/>
        <v>0</v>
      </c>
      <c r="N60" s="282">
        <f t="shared" si="21"/>
        <v>0</v>
      </c>
      <c r="O60" s="375">
        <v>0</v>
      </c>
      <c r="P60" s="282">
        <f t="shared" ref="P60" si="23">P61+P62</f>
        <v>0</v>
      </c>
      <c r="Q60" s="154">
        <f t="shared" ref="Q60:Q65" si="24">P60-O60</f>
        <v>0</v>
      </c>
      <c r="R60" s="155" t="str">
        <f t="shared" si="5"/>
        <v>-</v>
      </c>
      <c r="S60" s="282">
        <f t="shared" ref="S60" si="25">S61+S62</f>
        <v>0</v>
      </c>
      <c r="T60" s="282">
        <v>450</v>
      </c>
      <c r="U60" s="282">
        <f t="shared" ref="U60" si="26">U61+U62</f>
        <v>0</v>
      </c>
      <c r="V60" s="147">
        <f t="shared" si="6"/>
        <v>-450</v>
      </c>
      <c r="W60" s="148">
        <f t="shared" si="7"/>
        <v>-1</v>
      </c>
      <c r="X60" s="282">
        <f t="shared" ref="X60" si="27">X61+X62</f>
        <v>0</v>
      </c>
      <c r="Y60" s="1"/>
    </row>
    <row r="61" spans="1:25" s="279" customFormat="1" ht="17.100000000000001" customHeight="1" x14ac:dyDescent="0.2">
      <c r="A61" s="278">
        <v>2111</v>
      </c>
      <c r="B61" s="76" t="s">
        <v>530</v>
      </c>
      <c r="C61" s="282"/>
      <c r="D61" s="375">
        <v>0</v>
      </c>
      <c r="E61" s="375">
        <v>0</v>
      </c>
      <c r="F61" s="282"/>
      <c r="G61" s="147"/>
      <c r="H61" s="148"/>
      <c r="I61" s="180"/>
      <c r="J61" s="375">
        <v>0</v>
      </c>
      <c r="K61" s="282"/>
      <c r="L61" s="147"/>
      <c r="M61" s="148"/>
      <c r="N61" s="180"/>
      <c r="O61" s="375">
        <v>0</v>
      </c>
      <c r="P61" s="282"/>
      <c r="Q61" s="154">
        <f t="shared" si="24"/>
        <v>0</v>
      </c>
      <c r="R61" s="155" t="str">
        <f t="shared" si="5"/>
        <v>-</v>
      </c>
      <c r="S61" s="180"/>
      <c r="T61" s="282">
        <v>0</v>
      </c>
      <c r="U61" s="282"/>
      <c r="V61" s="147">
        <f t="shared" si="6"/>
        <v>0</v>
      </c>
      <c r="W61" s="148" t="str">
        <f t="shared" si="7"/>
        <v>-</v>
      </c>
      <c r="X61" s="180"/>
      <c r="Y61" s="1"/>
    </row>
    <row r="62" spans="1:25" s="279" customFormat="1" ht="17.100000000000001" customHeight="1" x14ac:dyDescent="0.2">
      <c r="A62" s="278">
        <v>2112</v>
      </c>
      <c r="B62" s="76" t="s">
        <v>531</v>
      </c>
      <c r="C62" s="282">
        <v>450</v>
      </c>
      <c r="D62" s="375">
        <v>450</v>
      </c>
      <c r="E62" s="375">
        <v>0</v>
      </c>
      <c r="F62" s="282"/>
      <c r="G62" s="147"/>
      <c r="H62" s="148"/>
      <c r="I62" s="180"/>
      <c r="J62" s="375">
        <v>0</v>
      </c>
      <c r="K62" s="282"/>
      <c r="L62" s="147"/>
      <c r="M62" s="148"/>
      <c r="N62" s="180"/>
      <c r="O62" s="375">
        <v>0</v>
      </c>
      <c r="P62" s="282"/>
      <c r="Q62" s="154">
        <f t="shared" si="24"/>
        <v>0</v>
      </c>
      <c r="R62" s="155" t="str">
        <f t="shared" si="5"/>
        <v>-</v>
      </c>
      <c r="S62" s="180"/>
      <c r="T62" s="282">
        <v>450</v>
      </c>
      <c r="U62" s="282"/>
      <c r="V62" s="147">
        <f t="shared" si="6"/>
        <v>-450</v>
      </c>
      <c r="W62" s="148">
        <f t="shared" si="7"/>
        <v>-1</v>
      </c>
      <c r="X62" s="180"/>
      <c r="Y62" s="1"/>
    </row>
    <row r="63" spans="1:25" s="279" customFormat="1" ht="31.5" x14ac:dyDescent="0.2">
      <c r="A63" s="156">
        <v>2120</v>
      </c>
      <c r="B63" s="145" t="s">
        <v>26</v>
      </c>
      <c r="C63" s="282">
        <f>C64+C65</f>
        <v>4744.03</v>
      </c>
      <c r="D63" s="375">
        <v>4744.28</v>
      </c>
      <c r="E63" s="375">
        <v>2800.36</v>
      </c>
      <c r="F63" s="282">
        <f t="shared" ref="F63:N63" si="28">F64+F65</f>
        <v>0</v>
      </c>
      <c r="G63" s="282">
        <f t="shared" si="28"/>
        <v>0</v>
      </c>
      <c r="H63" s="282">
        <f t="shared" si="28"/>
        <v>0</v>
      </c>
      <c r="I63" s="282">
        <f t="shared" si="28"/>
        <v>0</v>
      </c>
      <c r="J63" s="375">
        <v>2800.36</v>
      </c>
      <c r="K63" s="282">
        <f t="shared" ref="K63" si="29">K64+K65</f>
        <v>0</v>
      </c>
      <c r="L63" s="282">
        <f t="shared" si="28"/>
        <v>0</v>
      </c>
      <c r="M63" s="282">
        <f t="shared" si="28"/>
        <v>0</v>
      </c>
      <c r="N63" s="282">
        <f t="shared" si="28"/>
        <v>0</v>
      </c>
      <c r="O63" s="375">
        <v>4113.32</v>
      </c>
      <c r="P63" s="282">
        <f t="shared" ref="P63" si="30">P64+P65</f>
        <v>0</v>
      </c>
      <c r="Q63" s="154">
        <f t="shared" si="24"/>
        <v>-4113.32</v>
      </c>
      <c r="R63" s="155">
        <f t="shared" si="5"/>
        <v>-1</v>
      </c>
      <c r="S63" s="282">
        <f t="shared" ref="S63" si="31">S64+S65</f>
        <v>0</v>
      </c>
      <c r="T63" s="282">
        <v>4744.28</v>
      </c>
      <c r="U63" s="282">
        <f t="shared" ref="U63" si="32">U64+U65</f>
        <v>0</v>
      </c>
      <c r="V63" s="147">
        <f t="shared" si="6"/>
        <v>-4744.28</v>
      </c>
      <c r="W63" s="148">
        <f t="shared" si="7"/>
        <v>-1</v>
      </c>
      <c r="X63" s="282">
        <f t="shared" ref="X63" si="33">X64+X65</f>
        <v>0</v>
      </c>
      <c r="Y63" s="1"/>
    </row>
    <row r="64" spans="1:25" s="279" customFormat="1" ht="17.100000000000001" customHeight="1" x14ac:dyDescent="0.2">
      <c r="A64" s="278">
        <v>2121</v>
      </c>
      <c r="B64" s="76" t="s">
        <v>530</v>
      </c>
      <c r="C64" s="282"/>
      <c r="D64" s="375">
        <v>0</v>
      </c>
      <c r="E64" s="375">
        <v>0</v>
      </c>
      <c r="F64" s="282"/>
      <c r="G64" s="147"/>
      <c r="H64" s="148"/>
      <c r="I64" s="180"/>
      <c r="J64" s="375">
        <v>0</v>
      </c>
      <c r="K64" s="282"/>
      <c r="L64" s="147"/>
      <c r="M64" s="148"/>
      <c r="N64" s="180"/>
      <c r="O64" s="375">
        <v>0</v>
      </c>
      <c r="P64" s="282"/>
      <c r="Q64" s="154">
        <f t="shared" si="24"/>
        <v>0</v>
      </c>
      <c r="R64" s="155" t="str">
        <f t="shared" si="5"/>
        <v>-</v>
      </c>
      <c r="S64" s="180"/>
      <c r="T64" s="282">
        <v>0</v>
      </c>
      <c r="U64" s="282"/>
      <c r="V64" s="147">
        <f t="shared" si="6"/>
        <v>0</v>
      </c>
      <c r="W64" s="148" t="str">
        <f t="shared" si="7"/>
        <v>-</v>
      </c>
      <c r="X64" s="180"/>
      <c r="Y64" s="1"/>
    </row>
    <row r="65" spans="1:25" s="279" customFormat="1" x14ac:dyDescent="0.2">
      <c r="A65" s="278">
        <v>2122</v>
      </c>
      <c r="B65" s="76" t="s">
        <v>531</v>
      </c>
      <c r="C65" s="282">
        <v>4744.03</v>
      </c>
      <c r="D65" s="375">
        <v>4744.28</v>
      </c>
      <c r="E65" s="375">
        <v>2800.36</v>
      </c>
      <c r="F65" s="282"/>
      <c r="G65" s="147"/>
      <c r="H65" s="148"/>
      <c r="I65" s="180"/>
      <c r="J65" s="375">
        <v>2800.36</v>
      </c>
      <c r="K65" s="282"/>
      <c r="L65" s="147"/>
      <c r="M65" s="148"/>
      <c r="N65" s="180"/>
      <c r="O65" s="375">
        <v>4113.32</v>
      </c>
      <c r="P65" s="282"/>
      <c r="Q65" s="154">
        <f t="shared" si="24"/>
        <v>-4113.32</v>
      </c>
      <c r="R65" s="155">
        <f t="shared" si="5"/>
        <v>-1</v>
      </c>
      <c r="S65" s="180"/>
      <c r="T65" s="282">
        <v>4744.28</v>
      </c>
      <c r="U65" s="282"/>
      <c r="V65" s="147">
        <f t="shared" si="6"/>
        <v>-4744.28</v>
      </c>
      <c r="W65" s="148">
        <f t="shared" si="7"/>
        <v>-1</v>
      </c>
      <c r="X65" s="180"/>
      <c r="Y65" s="1"/>
    </row>
    <row r="66" spans="1:25" s="2" customFormat="1" x14ac:dyDescent="0.2">
      <c r="A66" s="123">
        <v>2200</v>
      </c>
      <c r="B66" s="178" t="s">
        <v>27</v>
      </c>
      <c r="C66" s="369">
        <f t="shared" ref="C66" si="34">C67+C68+C74+C82+C89+C90+C96+C102</f>
        <v>1918515.94</v>
      </c>
      <c r="D66" s="369">
        <v>2036457.8</v>
      </c>
      <c r="E66" s="369">
        <v>585862.92000000004</v>
      </c>
      <c r="F66" s="369">
        <f>F67+F68+F74+F82+F89+F90+F96+F102</f>
        <v>0</v>
      </c>
      <c r="G66" s="173">
        <f t="shared" si="0"/>
        <v>-585862.92000000004</v>
      </c>
      <c r="H66" s="174">
        <f t="shared" si="1"/>
        <v>-1</v>
      </c>
      <c r="I66" s="183"/>
      <c r="J66" s="369">
        <v>1081482.55</v>
      </c>
      <c r="K66" s="369">
        <f>K67+K68+K74+K82+K89+K90+K96+K102</f>
        <v>0</v>
      </c>
      <c r="L66" s="173">
        <f t="shared" si="2"/>
        <v>-1081482.55</v>
      </c>
      <c r="M66" s="174">
        <f t="shared" si="3"/>
        <v>-1</v>
      </c>
      <c r="N66" s="183"/>
      <c r="O66" s="369">
        <v>1484196.29</v>
      </c>
      <c r="P66" s="369">
        <f>P67+P68+P74+P82+P89+P90+P96+P102</f>
        <v>0</v>
      </c>
      <c r="Q66" s="173">
        <f t="shared" si="4"/>
        <v>-1484196.29</v>
      </c>
      <c r="R66" s="174">
        <f t="shared" si="5"/>
        <v>-1</v>
      </c>
      <c r="S66" s="183"/>
      <c r="T66" s="369">
        <v>2036457.8</v>
      </c>
      <c r="U66" s="369">
        <f>U67+U68+U74+U82+U89+U90+U96+U102</f>
        <v>0</v>
      </c>
      <c r="V66" s="173">
        <f t="shared" si="6"/>
        <v>-2036457.8</v>
      </c>
      <c r="W66" s="174">
        <f t="shared" si="7"/>
        <v>-1</v>
      </c>
      <c r="X66" s="183"/>
      <c r="Y66" s="1"/>
    </row>
    <row r="67" spans="1:25" s="279" customFormat="1" x14ac:dyDescent="0.2">
      <c r="A67" s="156">
        <v>2210</v>
      </c>
      <c r="B67" s="165" t="s">
        <v>328</v>
      </c>
      <c r="C67" s="372">
        <v>12065.14</v>
      </c>
      <c r="D67" s="372">
        <v>12065.310000000001</v>
      </c>
      <c r="E67" s="372">
        <v>3558.5899999999997</v>
      </c>
      <c r="F67" s="372"/>
      <c r="G67" s="147">
        <f t="shared" si="0"/>
        <v>-3558.5899999999997</v>
      </c>
      <c r="H67" s="148">
        <f t="shared" si="1"/>
        <v>-1</v>
      </c>
      <c r="I67" s="284"/>
      <c r="J67" s="372">
        <v>6471.79</v>
      </c>
      <c r="K67" s="372"/>
      <c r="L67" s="147">
        <f t="shared" si="2"/>
        <v>-6471.79</v>
      </c>
      <c r="M67" s="148">
        <f t="shared" si="3"/>
        <v>-1</v>
      </c>
      <c r="N67" s="284"/>
      <c r="O67" s="372">
        <v>9329.9500000000007</v>
      </c>
      <c r="P67" s="372"/>
      <c r="Q67" s="147">
        <f t="shared" si="4"/>
        <v>-9329.9500000000007</v>
      </c>
      <c r="R67" s="148">
        <f t="shared" si="5"/>
        <v>-1</v>
      </c>
      <c r="S67" s="284"/>
      <c r="T67" s="372">
        <v>12065.310000000001</v>
      </c>
      <c r="U67" s="372"/>
      <c r="V67" s="147">
        <f t="shared" si="6"/>
        <v>-12065.310000000001</v>
      </c>
      <c r="W67" s="148">
        <f t="shared" si="7"/>
        <v>-1</v>
      </c>
      <c r="X67" s="284"/>
      <c r="Y67" s="1"/>
    </row>
    <row r="68" spans="1:25" s="279" customFormat="1" ht="17.100000000000001" customHeight="1" x14ac:dyDescent="0.2">
      <c r="A68" s="156">
        <v>2220</v>
      </c>
      <c r="B68" s="162" t="s">
        <v>28</v>
      </c>
      <c r="C68" s="375">
        <f t="shared" ref="C68" si="35">SUM(C69:C73)</f>
        <v>789098.91</v>
      </c>
      <c r="D68" s="375">
        <v>766333.11</v>
      </c>
      <c r="E68" s="375">
        <v>303321.73000000004</v>
      </c>
      <c r="F68" s="375">
        <f>SUM(F69:F73)</f>
        <v>0</v>
      </c>
      <c r="G68" s="147">
        <f t="shared" ref="G68:G131" si="36">F68-E68</f>
        <v>-303321.73000000004</v>
      </c>
      <c r="H68" s="148">
        <f t="shared" ref="H68:H131" si="37">IFERROR(G68/ABS(E68), "-")</f>
        <v>-1</v>
      </c>
      <c r="I68" s="587"/>
      <c r="J68" s="375">
        <v>454217.16000000003</v>
      </c>
      <c r="K68" s="375">
        <f>SUM(K69:K73)</f>
        <v>0</v>
      </c>
      <c r="L68" s="147">
        <f t="shared" si="2"/>
        <v>-454217.16000000003</v>
      </c>
      <c r="M68" s="148">
        <f t="shared" si="3"/>
        <v>-1</v>
      </c>
      <c r="N68" s="587"/>
      <c r="O68" s="375">
        <v>558904.51</v>
      </c>
      <c r="P68" s="375">
        <f>SUM(P69:P73)</f>
        <v>0</v>
      </c>
      <c r="Q68" s="147">
        <f t="shared" si="4"/>
        <v>-558904.51</v>
      </c>
      <c r="R68" s="148">
        <f t="shared" si="5"/>
        <v>-1</v>
      </c>
      <c r="S68" s="587"/>
      <c r="T68" s="375">
        <v>766333.11</v>
      </c>
      <c r="U68" s="375">
        <f>SUM(U69:U73)</f>
        <v>0</v>
      </c>
      <c r="V68" s="147">
        <f t="shared" si="6"/>
        <v>-766333.11</v>
      </c>
      <c r="W68" s="148">
        <f t="shared" si="7"/>
        <v>-1</v>
      </c>
      <c r="X68" s="587"/>
      <c r="Y68" s="1"/>
    </row>
    <row r="69" spans="1:25" s="2" customFormat="1" ht="17.100000000000001" customHeight="1" x14ac:dyDescent="0.2">
      <c r="A69" s="278">
        <v>2221</v>
      </c>
      <c r="B69" s="159" t="s">
        <v>329</v>
      </c>
      <c r="C69" s="139">
        <v>443733.66</v>
      </c>
      <c r="D69" s="370">
        <v>405969.52</v>
      </c>
      <c r="E69" s="370">
        <v>210051.75</v>
      </c>
      <c r="F69" s="370"/>
      <c r="G69" s="140">
        <f t="shared" si="36"/>
        <v>-210051.75</v>
      </c>
      <c r="H69" s="141">
        <f t="shared" si="37"/>
        <v>-1</v>
      </c>
      <c r="I69" s="588"/>
      <c r="J69" s="370">
        <v>285281.88</v>
      </c>
      <c r="K69" s="370"/>
      <c r="L69" s="140">
        <f t="shared" si="2"/>
        <v>-285281.88</v>
      </c>
      <c r="M69" s="141">
        <f t="shared" si="3"/>
        <v>-1</v>
      </c>
      <c r="N69" s="588"/>
      <c r="O69" s="370">
        <v>299324.60000000003</v>
      </c>
      <c r="P69" s="370"/>
      <c r="Q69" s="140">
        <f t="shared" si="4"/>
        <v>-299324.60000000003</v>
      </c>
      <c r="R69" s="141">
        <f t="shared" si="5"/>
        <v>-1</v>
      </c>
      <c r="S69" s="588"/>
      <c r="T69" s="370">
        <v>405969.52</v>
      </c>
      <c r="U69" s="370"/>
      <c r="V69" s="140">
        <f t="shared" si="6"/>
        <v>-405969.52</v>
      </c>
      <c r="W69" s="141">
        <f t="shared" si="7"/>
        <v>-1</v>
      </c>
      <c r="X69" s="588"/>
      <c r="Y69" s="1"/>
    </row>
    <row r="70" spans="1:25" s="4" customFormat="1" ht="17.100000000000001" customHeight="1" x14ac:dyDescent="0.2">
      <c r="A70" s="278">
        <v>2222</v>
      </c>
      <c r="B70" s="159" t="s">
        <v>488</v>
      </c>
      <c r="C70" s="139">
        <v>40600.949999999997</v>
      </c>
      <c r="D70" s="370">
        <v>40715.420000000006</v>
      </c>
      <c r="E70" s="370">
        <v>10968.34</v>
      </c>
      <c r="F70" s="139"/>
      <c r="G70" s="140">
        <f t="shared" si="36"/>
        <v>-10968.34</v>
      </c>
      <c r="H70" s="141">
        <f t="shared" si="37"/>
        <v>-1</v>
      </c>
      <c r="I70" s="588"/>
      <c r="J70" s="370">
        <v>21559.520000000004</v>
      </c>
      <c r="K70" s="139"/>
      <c r="L70" s="140">
        <f t="shared" ref="L70:L134" si="38">K70-J70</f>
        <v>-21559.520000000004</v>
      </c>
      <c r="M70" s="141">
        <f t="shared" ref="M70:M134" si="39">IFERROR(L70/ABS(J70), "-")</f>
        <v>-1</v>
      </c>
      <c r="N70" s="588"/>
      <c r="O70" s="370">
        <v>30446.570000000003</v>
      </c>
      <c r="P70" s="139"/>
      <c r="Q70" s="140">
        <f t="shared" ref="Q70:Q134" si="40">P70-O70</f>
        <v>-30446.570000000003</v>
      </c>
      <c r="R70" s="141">
        <f t="shared" ref="R70:R134" si="41">IFERROR(Q70/ABS(O70), "-")</f>
        <v>-1</v>
      </c>
      <c r="S70" s="588"/>
      <c r="T70" s="370">
        <v>40715.420000000006</v>
      </c>
      <c r="U70" s="139"/>
      <c r="V70" s="140">
        <f t="shared" ref="V70:V134" si="42">U70-T70</f>
        <v>-40715.420000000006</v>
      </c>
      <c r="W70" s="141">
        <f t="shared" ref="W70:W134" si="43">IFERROR(V70/ABS(T70), "-")</f>
        <v>-1</v>
      </c>
      <c r="X70" s="588"/>
      <c r="Y70" s="1"/>
    </row>
    <row r="71" spans="1:25" s="2" customFormat="1" ht="17.100000000000001" customHeight="1" x14ac:dyDescent="0.2">
      <c r="A71" s="278">
        <v>2223</v>
      </c>
      <c r="B71" s="159" t="s">
        <v>29</v>
      </c>
      <c r="C71" s="139">
        <v>220367.02</v>
      </c>
      <c r="D71" s="370">
        <v>234472.52999999997</v>
      </c>
      <c r="E71" s="370">
        <v>60338.86</v>
      </c>
      <c r="F71" s="139"/>
      <c r="G71" s="140">
        <f t="shared" si="36"/>
        <v>-60338.86</v>
      </c>
      <c r="H71" s="141">
        <f t="shared" si="37"/>
        <v>-1</v>
      </c>
      <c r="I71" s="588"/>
      <c r="J71" s="370">
        <v>105299.15</v>
      </c>
      <c r="K71" s="139"/>
      <c r="L71" s="140">
        <f t="shared" si="38"/>
        <v>-105299.15</v>
      </c>
      <c r="M71" s="141">
        <f t="shared" si="39"/>
        <v>-1</v>
      </c>
      <c r="N71" s="588"/>
      <c r="O71" s="371">
        <v>166379.15999999997</v>
      </c>
      <c r="P71" s="139"/>
      <c r="Q71" s="140">
        <f t="shared" si="40"/>
        <v>-166379.15999999997</v>
      </c>
      <c r="R71" s="141">
        <f t="shared" si="41"/>
        <v>-1</v>
      </c>
      <c r="S71" s="588"/>
      <c r="T71" s="371">
        <v>234472.52999999997</v>
      </c>
      <c r="U71" s="139"/>
      <c r="V71" s="140">
        <f t="shared" si="42"/>
        <v>-234472.52999999997</v>
      </c>
      <c r="W71" s="141">
        <f t="shared" si="43"/>
        <v>-1</v>
      </c>
      <c r="X71" s="588"/>
      <c r="Y71" s="1"/>
    </row>
    <row r="72" spans="1:25" s="2" customFormat="1" ht="30.6" customHeight="1" x14ac:dyDescent="0.2">
      <c r="A72" s="278">
        <v>2224</v>
      </c>
      <c r="B72" s="159" t="s">
        <v>129</v>
      </c>
      <c r="C72" s="139">
        <v>84397.28</v>
      </c>
      <c r="D72" s="370">
        <v>85175.64</v>
      </c>
      <c r="E72" s="370">
        <v>21962.78</v>
      </c>
      <c r="F72" s="139"/>
      <c r="G72" s="140">
        <f t="shared" si="36"/>
        <v>-21962.78</v>
      </c>
      <c r="H72" s="141">
        <f t="shared" si="37"/>
        <v>-1</v>
      </c>
      <c r="I72" s="588"/>
      <c r="J72" s="370">
        <v>42076.61</v>
      </c>
      <c r="K72" s="139"/>
      <c r="L72" s="140">
        <f t="shared" si="38"/>
        <v>-42076.61</v>
      </c>
      <c r="M72" s="141">
        <f t="shared" si="39"/>
        <v>-1</v>
      </c>
      <c r="N72" s="588"/>
      <c r="O72" s="370">
        <v>62754.18</v>
      </c>
      <c r="P72" s="139"/>
      <c r="Q72" s="140">
        <f t="shared" si="40"/>
        <v>-62754.18</v>
      </c>
      <c r="R72" s="141">
        <f t="shared" si="41"/>
        <v>-1</v>
      </c>
      <c r="S72" s="588"/>
      <c r="T72" s="370">
        <v>85175.64</v>
      </c>
      <c r="U72" s="139"/>
      <c r="V72" s="140">
        <f t="shared" si="42"/>
        <v>-85175.64</v>
      </c>
      <c r="W72" s="141">
        <f t="shared" si="43"/>
        <v>-1</v>
      </c>
      <c r="X72" s="588"/>
      <c r="Y72" s="1"/>
    </row>
    <row r="73" spans="1:25" s="2" customFormat="1" x14ac:dyDescent="0.2">
      <c r="A73" s="278">
        <v>2229</v>
      </c>
      <c r="B73" s="159" t="s">
        <v>30</v>
      </c>
      <c r="C73" s="139"/>
      <c r="D73" s="370">
        <v>0</v>
      </c>
      <c r="E73" s="370">
        <v>0</v>
      </c>
      <c r="F73" s="139"/>
      <c r="G73" s="140">
        <f t="shared" si="36"/>
        <v>0</v>
      </c>
      <c r="H73" s="141" t="str">
        <f t="shared" si="37"/>
        <v>-</v>
      </c>
      <c r="I73" s="589"/>
      <c r="J73" s="370">
        <v>0</v>
      </c>
      <c r="K73" s="139"/>
      <c r="L73" s="140">
        <f t="shared" si="38"/>
        <v>0</v>
      </c>
      <c r="M73" s="141" t="str">
        <f t="shared" si="39"/>
        <v>-</v>
      </c>
      <c r="N73" s="589"/>
      <c r="O73" s="370">
        <v>0</v>
      </c>
      <c r="P73" s="139"/>
      <c r="Q73" s="140">
        <f t="shared" si="40"/>
        <v>0</v>
      </c>
      <c r="R73" s="141" t="str">
        <f t="shared" si="41"/>
        <v>-</v>
      </c>
      <c r="S73" s="589"/>
      <c r="T73" s="370">
        <v>0</v>
      </c>
      <c r="U73" s="139"/>
      <c r="V73" s="140">
        <f t="shared" si="42"/>
        <v>0</v>
      </c>
      <c r="W73" s="141" t="str">
        <f t="shared" si="43"/>
        <v>-</v>
      </c>
      <c r="X73" s="589"/>
      <c r="Y73" s="1"/>
    </row>
    <row r="74" spans="1:25" s="279" customFormat="1" ht="29.45" customHeight="1" x14ac:dyDescent="0.2">
      <c r="A74" s="156">
        <v>2230</v>
      </c>
      <c r="B74" s="162" t="s">
        <v>489</v>
      </c>
      <c r="C74" s="272">
        <f t="shared" ref="C74" si="44">SUM(C75:C81)</f>
        <v>514129.87</v>
      </c>
      <c r="D74" s="375">
        <v>516508.50999999995</v>
      </c>
      <c r="E74" s="375">
        <v>118200.04</v>
      </c>
      <c r="F74" s="375">
        <f>SUM(F75:F81)</f>
        <v>0</v>
      </c>
      <c r="G74" s="147">
        <f t="shared" si="36"/>
        <v>-118200.04</v>
      </c>
      <c r="H74" s="148">
        <f t="shared" si="37"/>
        <v>-1</v>
      </c>
      <c r="I74" s="587"/>
      <c r="J74" s="375">
        <v>236865.27</v>
      </c>
      <c r="K74" s="375">
        <f>SUM(K75:K81)</f>
        <v>0</v>
      </c>
      <c r="L74" s="147">
        <f t="shared" si="38"/>
        <v>-236865.27</v>
      </c>
      <c r="M74" s="148">
        <f t="shared" si="39"/>
        <v>-1</v>
      </c>
      <c r="N74" s="587"/>
      <c r="O74" s="375">
        <v>370748.73</v>
      </c>
      <c r="P74" s="375">
        <f>SUM(P75:P81)</f>
        <v>0</v>
      </c>
      <c r="Q74" s="147">
        <f t="shared" si="40"/>
        <v>-370748.73</v>
      </c>
      <c r="R74" s="148">
        <f t="shared" si="41"/>
        <v>-1</v>
      </c>
      <c r="S74" s="587"/>
      <c r="T74" s="375">
        <v>516508.50999999995</v>
      </c>
      <c r="U74" s="375">
        <f>SUM(U75:U81)</f>
        <v>0</v>
      </c>
      <c r="V74" s="147">
        <f t="shared" si="42"/>
        <v>-516508.50999999995</v>
      </c>
      <c r="W74" s="148">
        <f t="shared" si="43"/>
        <v>-1</v>
      </c>
      <c r="X74" s="587"/>
      <c r="Y74" s="1"/>
    </row>
    <row r="75" spans="1:25" s="4" customFormat="1" ht="17.100000000000001" customHeight="1" x14ac:dyDescent="0.2">
      <c r="A75" s="278">
        <v>2231</v>
      </c>
      <c r="B75" s="159" t="s">
        <v>330</v>
      </c>
      <c r="C75" s="139"/>
      <c r="D75" s="370">
        <v>0</v>
      </c>
      <c r="E75" s="370">
        <v>0</v>
      </c>
      <c r="F75" s="370"/>
      <c r="G75" s="140">
        <f t="shared" si="36"/>
        <v>0</v>
      </c>
      <c r="H75" s="141" t="str">
        <f t="shared" si="37"/>
        <v>-</v>
      </c>
      <c r="I75" s="588"/>
      <c r="J75" s="370">
        <v>0</v>
      </c>
      <c r="K75" s="370"/>
      <c r="L75" s="140">
        <f t="shared" si="38"/>
        <v>0</v>
      </c>
      <c r="M75" s="141" t="str">
        <f t="shared" si="39"/>
        <v>-</v>
      </c>
      <c r="N75" s="588"/>
      <c r="O75" s="370">
        <v>0</v>
      </c>
      <c r="P75" s="370"/>
      <c r="Q75" s="140">
        <f t="shared" si="40"/>
        <v>0</v>
      </c>
      <c r="R75" s="141" t="str">
        <f t="shared" si="41"/>
        <v>-</v>
      </c>
      <c r="S75" s="588"/>
      <c r="T75" s="370">
        <v>0</v>
      </c>
      <c r="U75" s="370"/>
      <c r="V75" s="140">
        <f t="shared" si="42"/>
        <v>0</v>
      </c>
      <c r="W75" s="141" t="str">
        <f t="shared" si="43"/>
        <v>-</v>
      </c>
      <c r="X75" s="588"/>
      <c r="Y75" s="1"/>
    </row>
    <row r="76" spans="1:25" s="2" customFormat="1" ht="17.100000000000001" customHeight="1" x14ac:dyDescent="0.2">
      <c r="A76" s="278">
        <v>2232</v>
      </c>
      <c r="B76" s="159" t="s">
        <v>331</v>
      </c>
      <c r="C76" s="139"/>
      <c r="D76" s="370">
        <v>0</v>
      </c>
      <c r="E76" s="370">
        <v>0</v>
      </c>
      <c r="F76" s="370"/>
      <c r="G76" s="140">
        <f t="shared" si="36"/>
        <v>0</v>
      </c>
      <c r="H76" s="141" t="str">
        <f t="shared" si="37"/>
        <v>-</v>
      </c>
      <c r="I76" s="588"/>
      <c r="J76" s="370">
        <v>0</v>
      </c>
      <c r="K76" s="370"/>
      <c r="L76" s="140">
        <f t="shared" si="38"/>
        <v>0</v>
      </c>
      <c r="M76" s="141" t="str">
        <f t="shared" si="39"/>
        <v>-</v>
      </c>
      <c r="N76" s="588"/>
      <c r="O76" s="370">
        <v>0</v>
      </c>
      <c r="P76" s="370"/>
      <c r="Q76" s="140">
        <f t="shared" si="40"/>
        <v>0</v>
      </c>
      <c r="R76" s="141" t="str">
        <f t="shared" si="41"/>
        <v>-</v>
      </c>
      <c r="S76" s="588"/>
      <c r="T76" s="370">
        <v>0</v>
      </c>
      <c r="U76" s="370"/>
      <c r="V76" s="140">
        <f t="shared" si="42"/>
        <v>0</v>
      </c>
      <c r="W76" s="141" t="str">
        <f t="shared" si="43"/>
        <v>-</v>
      </c>
      <c r="X76" s="588"/>
      <c r="Y76" s="1"/>
    </row>
    <row r="77" spans="1:25" s="2" customFormat="1" ht="17.100000000000001" customHeight="1" x14ac:dyDescent="0.2">
      <c r="A77" s="278">
        <v>2233</v>
      </c>
      <c r="B77" s="159" t="s">
        <v>31</v>
      </c>
      <c r="C77" s="139">
        <v>17727.82</v>
      </c>
      <c r="D77" s="370">
        <v>20027.64</v>
      </c>
      <c r="E77" s="370">
        <v>4977.38</v>
      </c>
      <c r="F77" s="370"/>
      <c r="G77" s="140">
        <f t="shared" si="36"/>
        <v>-4977.38</v>
      </c>
      <c r="H77" s="141">
        <f t="shared" si="37"/>
        <v>-1</v>
      </c>
      <c r="I77" s="588"/>
      <c r="J77" s="370">
        <v>5702.0999999999995</v>
      </c>
      <c r="K77" s="370"/>
      <c r="L77" s="140">
        <f t="shared" si="38"/>
        <v>-5702.0999999999995</v>
      </c>
      <c r="M77" s="141">
        <f t="shared" si="39"/>
        <v>-1</v>
      </c>
      <c r="N77" s="588"/>
      <c r="O77" s="370">
        <v>11285.349999999999</v>
      </c>
      <c r="P77" s="370"/>
      <c r="Q77" s="140">
        <f t="shared" si="40"/>
        <v>-11285.349999999999</v>
      </c>
      <c r="R77" s="141">
        <f t="shared" si="41"/>
        <v>-1</v>
      </c>
      <c r="S77" s="588"/>
      <c r="T77" s="370">
        <v>20027.64</v>
      </c>
      <c r="U77" s="370"/>
      <c r="V77" s="140">
        <f t="shared" si="42"/>
        <v>-20027.64</v>
      </c>
      <c r="W77" s="141">
        <f t="shared" si="43"/>
        <v>-1</v>
      </c>
      <c r="X77" s="588"/>
      <c r="Y77" s="1"/>
    </row>
    <row r="78" spans="1:25" s="2" customFormat="1" ht="31.5" x14ac:dyDescent="0.2">
      <c r="A78" s="278">
        <v>2234</v>
      </c>
      <c r="B78" s="159" t="s">
        <v>490</v>
      </c>
      <c r="C78" s="139"/>
      <c r="D78" s="370">
        <v>0</v>
      </c>
      <c r="E78" s="370">
        <v>0</v>
      </c>
      <c r="F78" s="370"/>
      <c r="G78" s="140">
        <f t="shared" si="36"/>
        <v>0</v>
      </c>
      <c r="H78" s="141" t="str">
        <f t="shared" si="37"/>
        <v>-</v>
      </c>
      <c r="I78" s="588"/>
      <c r="J78" s="370">
        <v>0</v>
      </c>
      <c r="K78" s="370"/>
      <c r="L78" s="140">
        <f t="shared" si="38"/>
        <v>0</v>
      </c>
      <c r="M78" s="141" t="str">
        <f t="shared" si="39"/>
        <v>-</v>
      </c>
      <c r="N78" s="588"/>
      <c r="O78" s="370">
        <v>0</v>
      </c>
      <c r="P78" s="370"/>
      <c r="Q78" s="140">
        <f t="shared" si="40"/>
        <v>0</v>
      </c>
      <c r="R78" s="141" t="str">
        <f t="shared" si="41"/>
        <v>-</v>
      </c>
      <c r="S78" s="588"/>
      <c r="T78" s="370">
        <v>0</v>
      </c>
      <c r="U78" s="370"/>
      <c r="V78" s="140">
        <f t="shared" si="42"/>
        <v>0</v>
      </c>
      <c r="W78" s="141" t="str">
        <f t="shared" si="43"/>
        <v>-</v>
      </c>
      <c r="X78" s="588"/>
      <c r="Y78" s="1"/>
    </row>
    <row r="79" spans="1:25" s="2" customFormat="1" ht="17.100000000000001" customHeight="1" x14ac:dyDescent="0.2">
      <c r="A79" s="278">
        <v>2235</v>
      </c>
      <c r="B79" s="159" t="s">
        <v>332</v>
      </c>
      <c r="C79" s="139">
        <v>9184.1200000000008</v>
      </c>
      <c r="D79" s="370">
        <v>9184.39</v>
      </c>
      <c r="E79" s="370">
        <v>630</v>
      </c>
      <c r="F79" s="370"/>
      <c r="G79" s="140">
        <f t="shared" si="36"/>
        <v>-630</v>
      </c>
      <c r="H79" s="141">
        <f t="shared" si="37"/>
        <v>-1</v>
      </c>
      <c r="I79" s="588"/>
      <c r="J79" s="370">
        <v>1984.37</v>
      </c>
      <c r="K79" s="370"/>
      <c r="L79" s="140">
        <f t="shared" si="38"/>
        <v>-1984.37</v>
      </c>
      <c r="M79" s="141">
        <f t="shared" si="39"/>
        <v>-1</v>
      </c>
      <c r="N79" s="588"/>
      <c r="O79" s="371">
        <v>4699.37</v>
      </c>
      <c r="P79" s="370"/>
      <c r="Q79" s="140">
        <f t="shared" si="40"/>
        <v>-4699.37</v>
      </c>
      <c r="R79" s="141">
        <f t="shared" si="41"/>
        <v>-1</v>
      </c>
      <c r="S79" s="588"/>
      <c r="T79" s="371">
        <v>9184.39</v>
      </c>
      <c r="U79" s="370"/>
      <c r="V79" s="140">
        <f t="shared" si="42"/>
        <v>-9184.39</v>
      </c>
      <c r="W79" s="141">
        <f t="shared" si="43"/>
        <v>-1</v>
      </c>
      <c r="X79" s="588"/>
      <c r="Y79" s="1"/>
    </row>
    <row r="80" spans="1:25" s="2" customFormat="1" ht="17.100000000000001" customHeight="1" x14ac:dyDescent="0.2">
      <c r="A80" s="278">
        <v>2236</v>
      </c>
      <c r="B80" s="159" t="s">
        <v>333</v>
      </c>
      <c r="C80" s="139">
        <v>8522.59</v>
      </c>
      <c r="D80" s="370">
        <v>8522.98</v>
      </c>
      <c r="E80" s="370">
        <v>2110.41</v>
      </c>
      <c r="F80" s="370"/>
      <c r="G80" s="140">
        <f t="shared" si="36"/>
        <v>-2110.41</v>
      </c>
      <c r="H80" s="141">
        <f t="shared" si="37"/>
        <v>-1</v>
      </c>
      <c r="I80" s="588"/>
      <c r="J80" s="370">
        <v>4236.8099999999995</v>
      </c>
      <c r="K80" s="370"/>
      <c r="L80" s="140">
        <f t="shared" si="38"/>
        <v>-4236.8099999999995</v>
      </c>
      <c r="M80" s="141">
        <f t="shared" si="39"/>
        <v>-1</v>
      </c>
      <c r="N80" s="588"/>
      <c r="O80" s="370">
        <v>6413.9799999999987</v>
      </c>
      <c r="P80" s="370"/>
      <c r="Q80" s="140">
        <f t="shared" si="40"/>
        <v>-6413.9799999999987</v>
      </c>
      <c r="R80" s="141">
        <f t="shared" si="41"/>
        <v>-1</v>
      </c>
      <c r="S80" s="588"/>
      <c r="T80" s="370">
        <v>8522.98</v>
      </c>
      <c r="U80" s="370"/>
      <c r="V80" s="140">
        <f t="shared" si="42"/>
        <v>-8522.98</v>
      </c>
      <c r="W80" s="141">
        <f t="shared" si="43"/>
        <v>-1</v>
      </c>
      <c r="X80" s="588"/>
      <c r="Y80" s="1"/>
    </row>
    <row r="81" spans="1:25" s="2" customFormat="1" ht="29.25" customHeight="1" x14ac:dyDescent="0.2">
      <c r="A81" s="278">
        <v>2239</v>
      </c>
      <c r="B81" s="159" t="s">
        <v>334</v>
      </c>
      <c r="C81" s="139">
        <f>478682.73+6.61+6</f>
        <v>478695.33999999997</v>
      </c>
      <c r="D81" s="370">
        <v>478773.49999999994</v>
      </c>
      <c r="E81" s="370">
        <v>110482.25</v>
      </c>
      <c r="F81" s="370"/>
      <c r="G81" s="140">
        <f t="shared" si="36"/>
        <v>-110482.25</v>
      </c>
      <c r="H81" s="141">
        <f t="shared" si="37"/>
        <v>-1</v>
      </c>
      <c r="I81" s="589"/>
      <c r="J81" s="370">
        <v>224941.99</v>
      </c>
      <c r="K81" s="370"/>
      <c r="L81" s="140">
        <f t="shared" si="38"/>
        <v>-224941.99</v>
      </c>
      <c r="M81" s="141">
        <f t="shared" si="39"/>
        <v>-1</v>
      </c>
      <c r="N81" s="589"/>
      <c r="O81" s="370">
        <v>348350.02999999991</v>
      </c>
      <c r="P81" s="370"/>
      <c r="Q81" s="140">
        <f t="shared" si="40"/>
        <v>-348350.02999999991</v>
      </c>
      <c r="R81" s="141">
        <f t="shared" si="41"/>
        <v>-1</v>
      </c>
      <c r="S81" s="589"/>
      <c r="T81" s="370">
        <v>478773.49999999994</v>
      </c>
      <c r="U81" s="370"/>
      <c r="V81" s="140">
        <f t="shared" si="42"/>
        <v>-478773.49999999994</v>
      </c>
      <c r="W81" s="141">
        <f t="shared" si="43"/>
        <v>-1</v>
      </c>
      <c r="X81" s="589"/>
      <c r="Y81" s="1"/>
    </row>
    <row r="82" spans="1:25" s="285" customFormat="1" ht="31.5" customHeight="1" x14ac:dyDescent="0.2">
      <c r="A82" s="156">
        <v>2240</v>
      </c>
      <c r="B82" s="162" t="s">
        <v>130</v>
      </c>
      <c r="C82" s="375">
        <f t="shared" ref="C82" si="45">SUM(C83:C88)</f>
        <v>318030.06</v>
      </c>
      <c r="D82" s="375">
        <v>450530.24</v>
      </c>
      <c r="E82" s="375">
        <v>86244.23000000001</v>
      </c>
      <c r="F82" s="375">
        <f>SUM(F83:F88)</f>
        <v>0</v>
      </c>
      <c r="G82" s="147">
        <f t="shared" si="36"/>
        <v>-86244.23000000001</v>
      </c>
      <c r="H82" s="148">
        <f t="shared" si="37"/>
        <v>-1</v>
      </c>
      <c r="I82" s="587"/>
      <c r="J82" s="375">
        <v>228285.19</v>
      </c>
      <c r="K82" s="375">
        <f>SUM(K83:K88)</f>
        <v>0</v>
      </c>
      <c r="L82" s="147">
        <f t="shared" si="38"/>
        <v>-228285.19</v>
      </c>
      <c r="M82" s="148">
        <f t="shared" si="39"/>
        <v>-1</v>
      </c>
      <c r="N82" s="587"/>
      <c r="O82" s="375">
        <v>327243.63</v>
      </c>
      <c r="P82" s="375">
        <f>SUM(P83:P88)</f>
        <v>0</v>
      </c>
      <c r="Q82" s="147">
        <f t="shared" si="40"/>
        <v>-327243.63</v>
      </c>
      <c r="R82" s="148">
        <f t="shared" si="41"/>
        <v>-1</v>
      </c>
      <c r="S82" s="587"/>
      <c r="T82" s="375">
        <v>450530.24</v>
      </c>
      <c r="U82" s="375">
        <f>SUM(U83:U88)</f>
        <v>0</v>
      </c>
      <c r="V82" s="147">
        <f t="shared" si="42"/>
        <v>-450530.24</v>
      </c>
      <c r="W82" s="148">
        <f t="shared" si="43"/>
        <v>-1</v>
      </c>
      <c r="X82" s="587"/>
      <c r="Y82" s="1"/>
    </row>
    <row r="83" spans="1:25" s="2" customFormat="1" ht="17.100000000000001" customHeight="1" x14ac:dyDescent="0.2">
      <c r="A83" s="278">
        <v>2241</v>
      </c>
      <c r="B83" s="159" t="s">
        <v>335</v>
      </c>
      <c r="C83" s="370"/>
      <c r="D83" s="370">
        <v>0</v>
      </c>
      <c r="E83" s="370">
        <v>0</v>
      </c>
      <c r="F83" s="139"/>
      <c r="G83" s="140">
        <f t="shared" si="36"/>
        <v>0</v>
      </c>
      <c r="H83" s="141" t="str">
        <f t="shared" si="37"/>
        <v>-</v>
      </c>
      <c r="I83" s="588"/>
      <c r="J83" s="370">
        <v>0</v>
      </c>
      <c r="K83" s="139"/>
      <c r="L83" s="140">
        <f t="shared" si="38"/>
        <v>0</v>
      </c>
      <c r="M83" s="141" t="str">
        <f t="shared" si="39"/>
        <v>-</v>
      </c>
      <c r="N83" s="588"/>
      <c r="O83" s="371">
        <v>0</v>
      </c>
      <c r="P83" s="139"/>
      <c r="Q83" s="140">
        <f t="shared" si="40"/>
        <v>0</v>
      </c>
      <c r="R83" s="141" t="str">
        <f t="shared" si="41"/>
        <v>-</v>
      </c>
      <c r="S83" s="588"/>
      <c r="T83" s="371">
        <v>0</v>
      </c>
      <c r="U83" s="139"/>
      <c r="V83" s="140">
        <f t="shared" si="42"/>
        <v>0</v>
      </c>
      <c r="W83" s="141" t="str">
        <f t="shared" si="43"/>
        <v>-</v>
      </c>
      <c r="X83" s="588"/>
      <c r="Y83" s="1"/>
    </row>
    <row r="84" spans="1:25" s="2" customFormat="1" ht="17.100000000000001" customHeight="1" x14ac:dyDescent="0.2">
      <c r="A84" s="278">
        <v>2242</v>
      </c>
      <c r="B84" s="159" t="s">
        <v>32</v>
      </c>
      <c r="C84" s="370">
        <v>1385.92</v>
      </c>
      <c r="D84" s="370">
        <v>1386.02</v>
      </c>
      <c r="E84" s="370">
        <v>65.150000000000006</v>
      </c>
      <c r="F84" s="143"/>
      <c r="G84" s="160">
        <f t="shared" si="36"/>
        <v>-65.150000000000006</v>
      </c>
      <c r="H84" s="161">
        <f t="shared" si="37"/>
        <v>-1</v>
      </c>
      <c r="I84" s="588"/>
      <c r="J84" s="370">
        <v>721.99</v>
      </c>
      <c r="K84" s="143"/>
      <c r="L84" s="160">
        <f t="shared" si="38"/>
        <v>-721.99</v>
      </c>
      <c r="M84" s="161">
        <f t="shared" si="39"/>
        <v>-1</v>
      </c>
      <c r="N84" s="588"/>
      <c r="O84" s="371">
        <v>727.43000000000006</v>
      </c>
      <c r="P84" s="143"/>
      <c r="Q84" s="140">
        <f t="shared" si="40"/>
        <v>-727.43000000000006</v>
      </c>
      <c r="R84" s="141">
        <f t="shared" si="41"/>
        <v>-1</v>
      </c>
      <c r="S84" s="588"/>
      <c r="T84" s="371">
        <v>1386.02</v>
      </c>
      <c r="U84" s="143"/>
      <c r="V84" s="140">
        <f t="shared" si="42"/>
        <v>-1386.02</v>
      </c>
      <c r="W84" s="141">
        <f t="shared" si="43"/>
        <v>-1</v>
      </c>
      <c r="X84" s="588"/>
      <c r="Y84" s="1"/>
    </row>
    <row r="85" spans="1:25" s="2" customFormat="1" ht="31.5" x14ac:dyDescent="0.2">
      <c r="A85" s="278">
        <v>2243</v>
      </c>
      <c r="B85" s="159" t="s">
        <v>33</v>
      </c>
      <c r="C85" s="370">
        <v>179847.33</v>
      </c>
      <c r="D85" s="370">
        <v>192347</v>
      </c>
      <c r="E85" s="370">
        <v>26337.97</v>
      </c>
      <c r="F85" s="139"/>
      <c r="G85" s="140">
        <f t="shared" si="36"/>
        <v>-26337.97</v>
      </c>
      <c r="H85" s="141">
        <f t="shared" si="37"/>
        <v>-1</v>
      </c>
      <c r="I85" s="588"/>
      <c r="J85" s="370">
        <v>92061.48</v>
      </c>
      <c r="K85" s="139"/>
      <c r="L85" s="140">
        <f t="shared" si="38"/>
        <v>-92061.48</v>
      </c>
      <c r="M85" s="141">
        <f t="shared" si="39"/>
        <v>-1</v>
      </c>
      <c r="N85" s="588"/>
      <c r="O85" s="370">
        <v>131106.53</v>
      </c>
      <c r="P85" s="139"/>
      <c r="Q85" s="140">
        <f t="shared" si="40"/>
        <v>-131106.53</v>
      </c>
      <c r="R85" s="141">
        <f t="shared" si="41"/>
        <v>-1</v>
      </c>
      <c r="S85" s="588"/>
      <c r="T85" s="370">
        <v>192347</v>
      </c>
      <c r="U85" s="139"/>
      <c r="V85" s="140">
        <f t="shared" si="42"/>
        <v>-192347</v>
      </c>
      <c r="W85" s="141">
        <f t="shared" si="43"/>
        <v>-1</v>
      </c>
      <c r="X85" s="588"/>
      <c r="Y85" s="1"/>
    </row>
    <row r="86" spans="1:25" s="2" customFormat="1" ht="17.100000000000001" customHeight="1" x14ac:dyDescent="0.2">
      <c r="A86" s="278">
        <v>2244</v>
      </c>
      <c r="B86" s="159" t="s">
        <v>131</v>
      </c>
      <c r="C86" s="370">
        <v>23553.919999999998</v>
      </c>
      <c r="D86" s="370">
        <v>23554.22</v>
      </c>
      <c r="E86" s="370">
        <v>3789.5</v>
      </c>
      <c r="F86" s="139"/>
      <c r="G86" s="140">
        <f t="shared" si="36"/>
        <v>-3789.5</v>
      </c>
      <c r="H86" s="141">
        <f t="shared" si="37"/>
        <v>-1</v>
      </c>
      <c r="I86" s="588"/>
      <c r="J86" s="370">
        <v>10144.780000000001</v>
      </c>
      <c r="K86" s="139"/>
      <c r="L86" s="140">
        <f t="shared" si="38"/>
        <v>-10144.780000000001</v>
      </c>
      <c r="M86" s="141">
        <f t="shared" si="39"/>
        <v>-1</v>
      </c>
      <c r="N86" s="588"/>
      <c r="O86" s="371">
        <v>17154.48</v>
      </c>
      <c r="P86" s="139"/>
      <c r="Q86" s="140">
        <f t="shared" si="40"/>
        <v>-17154.48</v>
      </c>
      <c r="R86" s="141">
        <f t="shared" si="41"/>
        <v>-1</v>
      </c>
      <c r="S86" s="588"/>
      <c r="T86" s="371">
        <v>23554.22</v>
      </c>
      <c r="U86" s="139"/>
      <c r="V86" s="140">
        <f t="shared" si="42"/>
        <v>-23554.22</v>
      </c>
      <c r="W86" s="141">
        <f t="shared" si="43"/>
        <v>-1</v>
      </c>
      <c r="X86" s="588"/>
      <c r="Y86" s="1"/>
    </row>
    <row r="87" spans="1:25" s="2" customFormat="1" ht="17.100000000000001" customHeight="1" x14ac:dyDescent="0.2">
      <c r="A87" s="278">
        <v>2247</v>
      </c>
      <c r="B87" s="159" t="s">
        <v>34</v>
      </c>
      <c r="C87" s="370">
        <f>25.57+3336.58</f>
        <v>3362.15</v>
      </c>
      <c r="D87" s="370">
        <v>3361.7799999999997</v>
      </c>
      <c r="E87" s="370">
        <v>771.72</v>
      </c>
      <c r="F87" s="139"/>
      <c r="G87" s="140">
        <f t="shared" si="36"/>
        <v>-771.72</v>
      </c>
      <c r="H87" s="141">
        <f t="shared" si="37"/>
        <v>-1</v>
      </c>
      <c r="I87" s="588"/>
      <c r="J87" s="370">
        <v>2983.29</v>
      </c>
      <c r="K87" s="139"/>
      <c r="L87" s="160">
        <f t="shared" si="38"/>
        <v>-2983.29</v>
      </c>
      <c r="M87" s="161">
        <f t="shared" si="39"/>
        <v>-1</v>
      </c>
      <c r="N87" s="588"/>
      <c r="O87" s="371">
        <v>3205.47</v>
      </c>
      <c r="P87" s="139"/>
      <c r="Q87" s="140">
        <f t="shared" si="40"/>
        <v>-3205.47</v>
      </c>
      <c r="R87" s="141">
        <f t="shared" si="41"/>
        <v>-1</v>
      </c>
      <c r="S87" s="588"/>
      <c r="T87" s="371">
        <v>3361.7799999999997</v>
      </c>
      <c r="U87" s="139"/>
      <c r="V87" s="140">
        <f t="shared" si="42"/>
        <v>-3361.7799999999997</v>
      </c>
      <c r="W87" s="141">
        <f t="shared" si="43"/>
        <v>-1</v>
      </c>
      <c r="X87" s="588"/>
      <c r="Y87" s="1"/>
    </row>
    <row r="88" spans="1:25" s="2" customFormat="1" ht="17.100000000000001" customHeight="1" x14ac:dyDescent="0.2">
      <c r="A88" s="278">
        <v>2249</v>
      </c>
      <c r="B88" s="159" t="s">
        <v>35</v>
      </c>
      <c r="C88" s="370">
        <v>109880.74</v>
      </c>
      <c r="D88" s="370">
        <v>229881.22</v>
      </c>
      <c r="E88" s="370">
        <v>55279.89</v>
      </c>
      <c r="F88" s="139"/>
      <c r="G88" s="140">
        <f t="shared" si="36"/>
        <v>-55279.89</v>
      </c>
      <c r="H88" s="141">
        <f t="shared" si="37"/>
        <v>-1</v>
      </c>
      <c r="I88" s="589"/>
      <c r="J88" s="370">
        <v>122373.65</v>
      </c>
      <c r="K88" s="139"/>
      <c r="L88" s="140">
        <f t="shared" si="38"/>
        <v>-122373.65</v>
      </c>
      <c r="M88" s="141">
        <f t="shared" si="39"/>
        <v>-1</v>
      </c>
      <c r="N88" s="589"/>
      <c r="O88" s="370">
        <v>175049.72</v>
      </c>
      <c r="P88" s="139"/>
      <c r="Q88" s="140">
        <f t="shared" si="40"/>
        <v>-175049.72</v>
      </c>
      <c r="R88" s="141">
        <f t="shared" si="41"/>
        <v>-1</v>
      </c>
      <c r="S88" s="589"/>
      <c r="T88" s="370">
        <v>229881.22</v>
      </c>
      <c r="U88" s="139"/>
      <c r="V88" s="140">
        <f t="shared" si="42"/>
        <v>-229881.22</v>
      </c>
      <c r="W88" s="141">
        <f t="shared" si="43"/>
        <v>-1</v>
      </c>
      <c r="X88" s="589"/>
      <c r="Y88" s="1"/>
    </row>
    <row r="89" spans="1:25" s="279" customFormat="1" ht="17.100000000000001" customHeight="1" x14ac:dyDescent="0.2">
      <c r="A89" s="156">
        <v>2250</v>
      </c>
      <c r="B89" s="165" t="s">
        <v>36</v>
      </c>
      <c r="C89" s="372">
        <v>212408.27</v>
      </c>
      <c r="D89" s="372">
        <v>212407.96999999997</v>
      </c>
      <c r="E89" s="372">
        <v>57827.83</v>
      </c>
      <c r="F89" s="372"/>
      <c r="G89" s="286">
        <f t="shared" si="36"/>
        <v>-57827.83</v>
      </c>
      <c r="H89" s="287">
        <f t="shared" si="37"/>
        <v>-1</v>
      </c>
      <c r="I89" s="431"/>
      <c r="J89" s="372">
        <v>116622.28</v>
      </c>
      <c r="K89" s="372"/>
      <c r="L89" s="286">
        <f t="shared" si="38"/>
        <v>-116622.28</v>
      </c>
      <c r="M89" s="287">
        <f t="shared" si="39"/>
        <v>-1</v>
      </c>
      <c r="N89" s="288"/>
      <c r="O89" s="373">
        <v>163117.69</v>
      </c>
      <c r="P89" s="372"/>
      <c r="Q89" s="286">
        <f t="shared" si="40"/>
        <v>-163117.69</v>
      </c>
      <c r="R89" s="287">
        <f t="shared" si="41"/>
        <v>-1</v>
      </c>
      <c r="S89" s="288"/>
      <c r="T89" s="372">
        <v>212407.96999999997</v>
      </c>
      <c r="U89" s="372"/>
      <c r="V89" s="286">
        <f t="shared" si="42"/>
        <v>-212407.96999999997</v>
      </c>
      <c r="W89" s="287">
        <f t="shared" si="43"/>
        <v>-1</v>
      </c>
      <c r="X89" s="288"/>
      <c r="Y89" s="1"/>
    </row>
    <row r="90" spans="1:25" s="279" customFormat="1" ht="17.100000000000001" customHeight="1" x14ac:dyDescent="0.2">
      <c r="A90" s="156">
        <v>2260</v>
      </c>
      <c r="B90" s="165" t="s">
        <v>37</v>
      </c>
      <c r="C90" s="375">
        <f t="shared" ref="C90" si="46">SUM(C91:C95)</f>
        <v>71018.52</v>
      </c>
      <c r="D90" s="375">
        <v>76847.839999999997</v>
      </c>
      <c r="E90" s="375">
        <v>16031.150000000001</v>
      </c>
      <c r="F90" s="375">
        <f>SUM(F91:F95)</f>
        <v>0</v>
      </c>
      <c r="G90" s="286">
        <f t="shared" si="36"/>
        <v>-16031.150000000001</v>
      </c>
      <c r="H90" s="287">
        <f t="shared" si="37"/>
        <v>-1</v>
      </c>
      <c r="I90" s="587"/>
      <c r="J90" s="375">
        <v>38186.400000000001</v>
      </c>
      <c r="K90" s="375">
        <f>SUM(K91:K95)</f>
        <v>0</v>
      </c>
      <c r="L90" s="286">
        <f t="shared" si="38"/>
        <v>-38186.400000000001</v>
      </c>
      <c r="M90" s="287">
        <f t="shared" si="39"/>
        <v>-1</v>
      </c>
      <c r="N90" s="587"/>
      <c r="O90" s="375">
        <v>53409.719999999994</v>
      </c>
      <c r="P90" s="375">
        <f>SUM(P91:P95)</f>
        <v>0</v>
      </c>
      <c r="Q90" s="286">
        <f t="shared" si="40"/>
        <v>-53409.719999999994</v>
      </c>
      <c r="R90" s="287">
        <f t="shared" si="41"/>
        <v>-1</v>
      </c>
      <c r="S90" s="587"/>
      <c r="T90" s="375">
        <v>76847.839999999997</v>
      </c>
      <c r="U90" s="375">
        <f>SUM(U91:U95)</f>
        <v>0</v>
      </c>
      <c r="V90" s="286">
        <f t="shared" si="42"/>
        <v>-76847.839999999997</v>
      </c>
      <c r="W90" s="287">
        <f t="shared" si="43"/>
        <v>-1</v>
      </c>
      <c r="X90" s="587"/>
      <c r="Y90" s="1"/>
    </row>
    <row r="91" spans="1:25" s="2" customFormat="1" ht="17.100000000000001" customHeight="1" x14ac:dyDescent="0.2">
      <c r="A91" s="278">
        <v>2261</v>
      </c>
      <c r="B91" s="48" t="s">
        <v>38</v>
      </c>
      <c r="C91" s="139"/>
      <c r="D91" s="370">
        <v>0</v>
      </c>
      <c r="E91" s="370">
        <v>0</v>
      </c>
      <c r="F91" s="139"/>
      <c r="G91" s="140">
        <f t="shared" si="36"/>
        <v>0</v>
      </c>
      <c r="H91" s="141" t="str">
        <f t="shared" si="37"/>
        <v>-</v>
      </c>
      <c r="I91" s="588"/>
      <c r="J91" s="370">
        <v>0</v>
      </c>
      <c r="K91" s="139"/>
      <c r="L91" s="140">
        <f t="shared" si="38"/>
        <v>0</v>
      </c>
      <c r="M91" s="141" t="str">
        <f t="shared" si="39"/>
        <v>-</v>
      </c>
      <c r="N91" s="588"/>
      <c r="O91" s="370">
        <v>0</v>
      </c>
      <c r="P91" s="139"/>
      <c r="Q91" s="140">
        <f t="shared" si="40"/>
        <v>0</v>
      </c>
      <c r="R91" s="141" t="str">
        <f t="shared" si="41"/>
        <v>-</v>
      </c>
      <c r="S91" s="588"/>
      <c r="T91" s="370">
        <v>0</v>
      </c>
      <c r="U91" s="139"/>
      <c r="V91" s="140">
        <f t="shared" si="42"/>
        <v>0</v>
      </c>
      <c r="W91" s="141" t="str">
        <f t="shared" si="43"/>
        <v>-</v>
      </c>
      <c r="X91" s="588"/>
      <c r="Y91" s="1"/>
    </row>
    <row r="92" spans="1:25" s="2" customFormat="1" ht="17.100000000000001" customHeight="1" x14ac:dyDescent="0.2">
      <c r="A92" s="278">
        <v>2262</v>
      </c>
      <c r="B92" s="48" t="s">
        <v>39</v>
      </c>
      <c r="C92" s="139"/>
      <c r="D92" s="370">
        <v>0</v>
      </c>
      <c r="E92" s="370">
        <v>0</v>
      </c>
      <c r="F92" s="139"/>
      <c r="G92" s="140">
        <f t="shared" si="36"/>
        <v>0</v>
      </c>
      <c r="H92" s="141" t="str">
        <f t="shared" si="37"/>
        <v>-</v>
      </c>
      <c r="I92" s="588"/>
      <c r="J92" s="370">
        <v>0</v>
      </c>
      <c r="K92" s="139"/>
      <c r="L92" s="140">
        <f t="shared" si="38"/>
        <v>0</v>
      </c>
      <c r="M92" s="141" t="str">
        <f t="shared" si="39"/>
        <v>-</v>
      </c>
      <c r="N92" s="588"/>
      <c r="O92" s="370">
        <v>0</v>
      </c>
      <c r="P92" s="139"/>
      <c r="Q92" s="140">
        <f t="shared" si="40"/>
        <v>0</v>
      </c>
      <c r="R92" s="141" t="str">
        <f t="shared" si="41"/>
        <v>-</v>
      </c>
      <c r="S92" s="588"/>
      <c r="T92" s="370">
        <v>0</v>
      </c>
      <c r="U92" s="139"/>
      <c r="V92" s="140">
        <f t="shared" si="42"/>
        <v>0</v>
      </c>
      <c r="W92" s="141" t="str">
        <f t="shared" si="43"/>
        <v>-</v>
      </c>
      <c r="X92" s="588"/>
      <c r="Y92" s="1"/>
    </row>
    <row r="93" spans="1:25" s="2" customFormat="1" ht="17.100000000000001" customHeight="1" x14ac:dyDescent="0.2">
      <c r="A93" s="278">
        <v>2263</v>
      </c>
      <c r="B93" s="48" t="s">
        <v>40</v>
      </c>
      <c r="C93" s="139"/>
      <c r="D93" s="370">
        <v>0</v>
      </c>
      <c r="E93" s="370">
        <v>0</v>
      </c>
      <c r="F93" s="139"/>
      <c r="G93" s="140">
        <f t="shared" si="36"/>
        <v>0</v>
      </c>
      <c r="H93" s="141" t="str">
        <f t="shared" si="37"/>
        <v>-</v>
      </c>
      <c r="I93" s="588"/>
      <c r="J93" s="370">
        <v>0</v>
      </c>
      <c r="K93" s="139"/>
      <c r="L93" s="140">
        <f t="shared" si="38"/>
        <v>0</v>
      </c>
      <c r="M93" s="141" t="str">
        <f t="shared" si="39"/>
        <v>-</v>
      </c>
      <c r="N93" s="588"/>
      <c r="O93" s="370">
        <v>0</v>
      </c>
      <c r="P93" s="139"/>
      <c r="Q93" s="140">
        <f t="shared" si="40"/>
        <v>0</v>
      </c>
      <c r="R93" s="141" t="str">
        <f t="shared" si="41"/>
        <v>-</v>
      </c>
      <c r="S93" s="588"/>
      <c r="T93" s="370">
        <v>0</v>
      </c>
      <c r="U93" s="139"/>
      <c r="V93" s="140">
        <f t="shared" si="42"/>
        <v>0</v>
      </c>
      <c r="W93" s="141" t="str">
        <f t="shared" si="43"/>
        <v>-</v>
      </c>
      <c r="X93" s="588"/>
      <c r="Y93" s="1"/>
    </row>
    <row r="94" spans="1:25" s="2" customFormat="1" ht="17.100000000000001" customHeight="1" x14ac:dyDescent="0.2">
      <c r="A94" s="278">
        <v>2264</v>
      </c>
      <c r="B94" s="48" t="s">
        <v>132</v>
      </c>
      <c r="C94" s="139">
        <v>71018.52</v>
      </c>
      <c r="D94" s="370">
        <v>76847.839999999997</v>
      </c>
      <c r="E94" s="370">
        <v>16031.150000000001</v>
      </c>
      <c r="F94" s="139"/>
      <c r="G94" s="140">
        <f t="shared" si="36"/>
        <v>-16031.150000000001</v>
      </c>
      <c r="H94" s="141">
        <f t="shared" si="37"/>
        <v>-1</v>
      </c>
      <c r="I94" s="588"/>
      <c r="J94" s="370">
        <v>38186.400000000001</v>
      </c>
      <c r="K94" s="139"/>
      <c r="L94" s="140">
        <f t="shared" si="38"/>
        <v>-38186.400000000001</v>
      </c>
      <c r="M94" s="141">
        <f t="shared" si="39"/>
        <v>-1</v>
      </c>
      <c r="N94" s="588"/>
      <c r="O94" s="371">
        <v>53409.719999999994</v>
      </c>
      <c r="P94" s="139"/>
      <c r="Q94" s="140">
        <f t="shared" si="40"/>
        <v>-53409.719999999994</v>
      </c>
      <c r="R94" s="141">
        <f t="shared" si="41"/>
        <v>-1</v>
      </c>
      <c r="S94" s="588"/>
      <c r="T94" s="370">
        <v>76847.839999999997</v>
      </c>
      <c r="U94" s="139"/>
      <c r="V94" s="140">
        <f t="shared" si="42"/>
        <v>-76847.839999999997</v>
      </c>
      <c r="W94" s="141">
        <f t="shared" si="43"/>
        <v>-1</v>
      </c>
      <c r="X94" s="588"/>
      <c r="Y94" s="1"/>
    </row>
    <row r="95" spans="1:25" s="2" customFormat="1" ht="17.100000000000001" customHeight="1" x14ac:dyDescent="0.2">
      <c r="A95" s="278">
        <v>2269</v>
      </c>
      <c r="B95" s="48" t="s">
        <v>41</v>
      </c>
      <c r="C95" s="139"/>
      <c r="D95" s="370">
        <v>0</v>
      </c>
      <c r="E95" s="370">
        <v>0</v>
      </c>
      <c r="F95" s="139"/>
      <c r="G95" s="140">
        <f t="shared" si="36"/>
        <v>0</v>
      </c>
      <c r="H95" s="141" t="str">
        <f t="shared" si="37"/>
        <v>-</v>
      </c>
      <c r="I95" s="589"/>
      <c r="J95" s="370">
        <v>0</v>
      </c>
      <c r="K95" s="139"/>
      <c r="L95" s="140">
        <f t="shared" si="38"/>
        <v>0</v>
      </c>
      <c r="M95" s="141" t="str">
        <f t="shared" si="39"/>
        <v>-</v>
      </c>
      <c r="N95" s="589"/>
      <c r="O95" s="370">
        <v>0</v>
      </c>
      <c r="P95" s="139"/>
      <c r="Q95" s="140">
        <f t="shared" si="40"/>
        <v>0</v>
      </c>
      <c r="R95" s="141" t="str">
        <f t="shared" si="41"/>
        <v>-</v>
      </c>
      <c r="S95" s="589"/>
      <c r="T95" s="370">
        <v>0</v>
      </c>
      <c r="U95" s="139"/>
      <c r="V95" s="140">
        <f t="shared" si="42"/>
        <v>0</v>
      </c>
      <c r="W95" s="141" t="str">
        <f t="shared" si="43"/>
        <v>-</v>
      </c>
      <c r="X95" s="589"/>
      <c r="Y95" s="1"/>
    </row>
    <row r="96" spans="1:25" s="279" customFormat="1" ht="17.100000000000001" customHeight="1" x14ac:dyDescent="0.2">
      <c r="A96" s="156">
        <v>2270</v>
      </c>
      <c r="B96" s="165" t="s">
        <v>336</v>
      </c>
      <c r="C96" s="272">
        <f t="shared" ref="C96" si="47">SUM(C98:C101)</f>
        <v>0</v>
      </c>
      <c r="D96" s="375">
        <v>0</v>
      </c>
      <c r="E96" s="375">
        <v>0</v>
      </c>
      <c r="F96" s="272">
        <f>SUM(F97:F101)</f>
        <v>0</v>
      </c>
      <c r="G96" s="286">
        <f t="shared" si="36"/>
        <v>0</v>
      </c>
      <c r="H96" s="287" t="str">
        <f t="shared" si="37"/>
        <v>-</v>
      </c>
      <c r="I96" s="587"/>
      <c r="J96" s="375">
        <v>0</v>
      </c>
      <c r="K96" s="272">
        <f>SUM(K97:K101)</f>
        <v>0</v>
      </c>
      <c r="L96" s="286">
        <f>K96-J96</f>
        <v>0</v>
      </c>
      <c r="M96" s="287" t="str">
        <f>IFERROR(L96/ABS(J96), "-")</f>
        <v>-</v>
      </c>
      <c r="N96" s="587"/>
      <c r="O96" s="375">
        <v>0</v>
      </c>
      <c r="P96" s="272">
        <f>SUM(P97:P101)</f>
        <v>0</v>
      </c>
      <c r="Q96" s="286">
        <f>P96-O96</f>
        <v>0</v>
      </c>
      <c r="R96" s="287" t="str">
        <f>IFERROR(Q96/ABS(O96), "-")</f>
        <v>-</v>
      </c>
      <c r="S96" s="587"/>
      <c r="T96" s="375">
        <v>0</v>
      </c>
      <c r="U96" s="272">
        <f>SUM(U97:U101)</f>
        <v>0</v>
      </c>
      <c r="V96" s="286">
        <f t="shared" si="42"/>
        <v>0</v>
      </c>
      <c r="W96" s="287" t="str">
        <f t="shared" si="43"/>
        <v>-</v>
      </c>
      <c r="X96" s="587"/>
      <c r="Y96" s="1"/>
    </row>
    <row r="97" spans="1:25" s="2" customFormat="1" ht="17.100000000000001" customHeight="1" x14ac:dyDescent="0.2">
      <c r="A97" s="278">
        <v>2272</v>
      </c>
      <c r="B97" s="159" t="s">
        <v>491</v>
      </c>
      <c r="C97" s="272"/>
      <c r="D97" s="375">
        <v>0</v>
      </c>
      <c r="E97" s="375">
        <v>0</v>
      </c>
      <c r="F97" s="272"/>
      <c r="G97" s="140">
        <f t="shared" si="36"/>
        <v>0</v>
      </c>
      <c r="H97" s="141" t="str">
        <f t="shared" si="37"/>
        <v>-</v>
      </c>
      <c r="I97" s="588"/>
      <c r="J97" s="370">
        <v>0</v>
      </c>
      <c r="K97" s="272"/>
      <c r="L97" s="140">
        <f t="shared" ref="L97" si="48">K97-J97</f>
        <v>0</v>
      </c>
      <c r="M97" s="141" t="str">
        <f t="shared" ref="M97" si="49">IFERROR(L97/ABS(J97), "-")</f>
        <v>-</v>
      </c>
      <c r="N97" s="588"/>
      <c r="O97" s="370">
        <v>0</v>
      </c>
      <c r="P97" s="272"/>
      <c r="Q97" s="140">
        <f t="shared" ref="Q97" si="50">P97-O97</f>
        <v>0</v>
      </c>
      <c r="R97" s="141" t="str">
        <f t="shared" ref="R97" si="51">IFERROR(Q97/ABS(O97), "-")</f>
        <v>-</v>
      </c>
      <c r="S97" s="588"/>
      <c r="T97" s="370">
        <v>0</v>
      </c>
      <c r="U97" s="272"/>
      <c r="V97" s="140">
        <f t="shared" si="42"/>
        <v>0</v>
      </c>
      <c r="W97" s="141" t="str">
        <f t="shared" si="43"/>
        <v>-</v>
      </c>
      <c r="X97" s="588"/>
      <c r="Y97" s="1"/>
    </row>
    <row r="98" spans="1:25" s="2" customFormat="1" ht="17.100000000000001" customHeight="1" x14ac:dyDescent="0.2">
      <c r="A98" s="278">
        <v>2272</v>
      </c>
      <c r="B98" s="159" t="s">
        <v>42</v>
      </c>
      <c r="C98" s="139"/>
      <c r="D98" s="370">
        <v>0</v>
      </c>
      <c r="E98" s="370">
        <v>0</v>
      </c>
      <c r="F98" s="139"/>
      <c r="G98" s="140">
        <f t="shared" si="36"/>
        <v>0</v>
      </c>
      <c r="H98" s="141" t="str">
        <f t="shared" si="37"/>
        <v>-</v>
      </c>
      <c r="I98" s="588"/>
      <c r="J98" s="370">
        <v>0</v>
      </c>
      <c r="K98" s="139"/>
      <c r="L98" s="140">
        <f t="shared" si="38"/>
        <v>0</v>
      </c>
      <c r="M98" s="141" t="str">
        <f t="shared" si="39"/>
        <v>-</v>
      </c>
      <c r="N98" s="588"/>
      <c r="O98" s="370">
        <v>0</v>
      </c>
      <c r="P98" s="139"/>
      <c r="Q98" s="140">
        <f t="shared" si="40"/>
        <v>0</v>
      </c>
      <c r="R98" s="141" t="str">
        <f t="shared" si="41"/>
        <v>-</v>
      </c>
      <c r="S98" s="588"/>
      <c r="T98" s="370">
        <v>0</v>
      </c>
      <c r="U98" s="139"/>
      <c r="V98" s="140">
        <f t="shared" si="42"/>
        <v>0</v>
      </c>
      <c r="W98" s="141" t="str">
        <f t="shared" si="43"/>
        <v>-</v>
      </c>
      <c r="X98" s="588"/>
      <c r="Y98" s="1"/>
    </row>
    <row r="99" spans="1:25" s="2" customFormat="1" ht="17.100000000000001" customHeight="1" x14ac:dyDescent="0.2">
      <c r="A99" s="278">
        <v>2273</v>
      </c>
      <c r="B99" s="159" t="s">
        <v>43</v>
      </c>
      <c r="C99" s="139"/>
      <c r="D99" s="370">
        <v>0</v>
      </c>
      <c r="E99" s="370">
        <v>0</v>
      </c>
      <c r="F99" s="139"/>
      <c r="G99" s="140">
        <f t="shared" si="36"/>
        <v>0</v>
      </c>
      <c r="H99" s="141" t="str">
        <f t="shared" si="37"/>
        <v>-</v>
      </c>
      <c r="I99" s="588"/>
      <c r="J99" s="370">
        <v>0</v>
      </c>
      <c r="K99" s="139"/>
      <c r="L99" s="140">
        <f t="shared" si="38"/>
        <v>0</v>
      </c>
      <c r="M99" s="141" t="str">
        <f t="shared" si="39"/>
        <v>-</v>
      </c>
      <c r="N99" s="588"/>
      <c r="O99" s="370">
        <v>0</v>
      </c>
      <c r="P99" s="139"/>
      <c r="Q99" s="140">
        <f t="shared" si="40"/>
        <v>0</v>
      </c>
      <c r="R99" s="141" t="str">
        <f t="shared" si="41"/>
        <v>-</v>
      </c>
      <c r="S99" s="588"/>
      <c r="T99" s="370">
        <v>0</v>
      </c>
      <c r="U99" s="139"/>
      <c r="V99" s="140">
        <f t="shared" si="42"/>
        <v>0</v>
      </c>
      <c r="W99" s="141" t="str">
        <f t="shared" si="43"/>
        <v>-</v>
      </c>
      <c r="X99" s="588"/>
      <c r="Y99" s="1"/>
    </row>
    <row r="100" spans="1:25" s="2" customFormat="1" ht="17.100000000000001" customHeight="1" x14ac:dyDescent="0.2">
      <c r="A100" s="278">
        <v>2274</v>
      </c>
      <c r="B100" s="159" t="s">
        <v>337</v>
      </c>
      <c r="C100" s="139"/>
      <c r="D100" s="370">
        <v>0</v>
      </c>
      <c r="E100" s="370">
        <v>0</v>
      </c>
      <c r="F100" s="139"/>
      <c r="G100" s="140">
        <f t="shared" si="36"/>
        <v>0</v>
      </c>
      <c r="H100" s="141" t="str">
        <f t="shared" si="37"/>
        <v>-</v>
      </c>
      <c r="I100" s="588"/>
      <c r="J100" s="370">
        <v>0</v>
      </c>
      <c r="K100" s="139"/>
      <c r="L100" s="140">
        <f t="shared" si="38"/>
        <v>0</v>
      </c>
      <c r="M100" s="141" t="str">
        <f t="shared" si="39"/>
        <v>-</v>
      </c>
      <c r="N100" s="588"/>
      <c r="O100" s="370">
        <v>0</v>
      </c>
      <c r="P100" s="139"/>
      <c r="Q100" s="140">
        <f t="shared" si="40"/>
        <v>0</v>
      </c>
      <c r="R100" s="141" t="str">
        <f t="shared" si="41"/>
        <v>-</v>
      </c>
      <c r="S100" s="588"/>
      <c r="T100" s="370">
        <v>0</v>
      </c>
      <c r="U100" s="139"/>
      <c r="V100" s="140">
        <f t="shared" si="42"/>
        <v>0</v>
      </c>
      <c r="W100" s="141" t="str">
        <f t="shared" si="43"/>
        <v>-</v>
      </c>
      <c r="X100" s="588"/>
      <c r="Y100" s="1"/>
    </row>
    <row r="101" spans="1:25" s="2" customFormat="1" ht="31.5" x14ac:dyDescent="0.2">
      <c r="A101" s="278">
        <v>2276</v>
      </c>
      <c r="B101" s="159" t="s">
        <v>133</v>
      </c>
      <c r="C101" s="139"/>
      <c r="D101" s="370">
        <v>0</v>
      </c>
      <c r="E101" s="370">
        <v>0</v>
      </c>
      <c r="F101" s="139"/>
      <c r="G101" s="140">
        <f t="shared" si="36"/>
        <v>0</v>
      </c>
      <c r="H101" s="141" t="str">
        <f t="shared" si="37"/>
        <v>-</v>
      </c>
      <c r="I101" s="589"/>
      <c r="J101" s="370">
        <v>0</v>
      </c>
      <c r="K101" s="139"/>
      <c r="L101" s="140">
        <f t="shared" si="38"/>
        <v>0</v>
      </c>
      <c r="M101" s="141" t="str">
        <f t="shared" si="39"/>
        <v>-</v>
      </c>
      <c r="N101" s="589"/>
      <c r="O101" s="371">
        <v>0</v>
      </c>
      <c r="P101" s="139"/>
      <c r="Q101" s="140">
        <f t="shared" si="40"/>
        <v>0</v>
      </c>
      <c r="R101" s="141" t="str">
        <f t="shared" si="41"/>
        <v>-</v>
      </c>
      <c r="S101" s="589"/>
      <c r="T101" s="371">
        <v>0</v>
      </c>
      <c r="U101" s="139"/>
      <c r="V101" s="140">
        <f t="shared" si="42"/>
        <v>0</v>
      </c>
      <c r="W101" s="141" t="str">
        <f t="shared" si="43"/>
        <v>-</v>
      </c>
      <c r="X101" s="589"/>
      <c r="Y101" s="1"/>
    </row>
    <row r="102" spans="1:25" s="279" customFormat="1" ht="47.25" x14ac:dyDescent="0.2">
      <c r="A102" s="156">
        <v>2280</v>
      </c>
      <c r="B102" s="162" t="s">
        <v>492</v>
      </c>
      <c r="C102" s="372">
        <v>1765.17</v>
      </c>
      <c r="D102" s="372">
        <v>1764.8200000000002</v>
      </c>
      <c r="E102" s="372">
        <v>679.35</v>
      </c>
      <c r="F102" s="163"/>
      <c r="G102" s="286">
        <f t="shared" si="36"/>
        <v>-679.35</v>
      </c>
      <c r="H102" s="287">
        <f t="shared" si="37"/>
        <v>-1</v>
      </c>
      <c r="I102" s="431"/>
      <c r="J102" s="372">
        <v>834.46</v>
      </c>
      <c r="K102" s="163"/>
      <c r="L102" s="286">
        <f t="shared" si="38"/>
        <v>-834.46</v>
      </c>
      <c r="M102" s="287">
        <f t="shared" si="39"/>
        <v>-1</v>
      </c>
      <c r="N102" s="288"/>
      <c r="O102" s="372">
        <v>1442.06</v>
      </c>
      <c r="P102" s="163"/>
      <c r="Q102" s="286">
        <f t="shared" si="40"/>
        <v>-1442.06</v>
      </c>
      <c r="R102" s="287">
        <f t="shared" si="41"/>
        <v>-1</v>
      </c>
      <c r="S102" s="288"/>
      <c r="T102" s="372">
        <v>1764.8200000000002</v>
      </c>
      <c r="U102" s="163"/>
      <c r="V102" s="286">
        <f t="shared" si="42"/>
        <v>-1764.8200000000002</v>
      </c>
      <c r="W102" s="287">
        <f t="shared" si="43"/>
        <v>-1</v>
      </c>
      <c r="X102" s="288"/>
      <c r="Y102" s="1"/>
    </row>
    <row r="103" spans="1:25" s="4" customFormat="1" ht="31.5" x14ac:dyDescent="0.2">
      <c r="A103" s="123">
        <v>2300</v>
      </c>
      <c r="B103" s="178" t="s">
        <v>44</v>
      </c>
      <c r="C103" s="369">
        <f>C104+C109+C113+C114+C118+C119+C126+C127+C128</f>
        <v>6786799.959999999</v>
      </c>
      <c r="D103" s="369">
        <v>6990151.5099999988</v>
      </c>
      <c r="E103" s="369">
        <v>1878696.3399999999</v>
      </c>
      <c r="F103" s="172">
        <f>F104+F109+F113+F114+F118+F119+F126+F127+F128</f>
        <v>0</v>
      </c>
      <c r="G103" s="173">
        <f t="shared" si="36"/>
        <v>-1878696.3399999999</v>
      </c>
      <c r="H103" s="174">
        <f t="shared" si="37"/>
        <v>-1</v>
      </c>
      <c r="I103" s="432"/>
      <c r="J103" s="369">
        <v>3392823.6999999997</v>
      </c>
      <c r="K103" s="172">
        <f>K104+K109+K113+K114+K118+K119+K126+K127+K128</f>
        <v>0</v>
      </c>
      <c r="L103" s="173">
        <f t="shared" si="38"/>
        <v>-3392823.6999999997</v>
      </c>
      <c r="M103" s="174">
        <f t="shared" si="39"/>
        <v>-1</v>
      </c>
      <c r="N103" s="183"/>
      <c r="O103" s="369">
        <v>5012448.8599999994</v>
      </c>
      <c r="P103" s="172">
        <f>P104+P109+P113+P114+P118+P119+P126+P127+P128</f>
        <v>0</v>
      </c>
      <c r="Q103" s="173">
        <f t="shared" si="40"/>
        <v>-5012448.8599999994</v>
      </c>
      <c r="R103" s="174">
        <f t="shared" si="41"/>
        <v>-1</v>
      </c>
      <c r="S103" s="183"/>
      <c r="T103" s="369">
        <v>6990151.5099999988</v>
      </c>
      <c r="U103" s="172">
        <f>U104+U109+U113+U114+U118+U119+U126+U127+U128</f>
        <v>0</v>
      </c>
      <c r="V103" s="173">
        <f t="shared" si="42"/>
        <v>-6990151.5099999988</v>
      </c>
      <c r="W103" s="174">
        <f t="shared" si="43"/>
        <v>-1</v>
      </c>
      <c r="X103" s="183"/>
      <c r="Y103" s="1"/>
    </row>
    <row r="104" spans="1:25" s="279" customFormat="1" ht="17.100000000000001" customHeight="1" x14ac:dyDescent="0.2">
      <c r="A104" s="156">
        <v>2310</v>
      </c>
      <c r="B104" s="162" t="s">
        <v>338</v>
      </c>
      <c r="C104" s="375">
        <f t="shared" ref="C104" si="52">SUM(C105:C108)</f>
        <v>104310.59</v>
      </c>
      <c r="D104" s="375">
        <v>104311.48</v>
      </c>
      <c r="E104" s="375">
        <v>15156.93</v>
      </c>
      <c r="F104" s="375">
        <f>SUM(F105:F108)</f>
        <v>0</v>
      </c>
      <c r="G104" s="286">
        <f t="shared" si="36"/>
        <v>-15156.93</v>
      </c>
      <c r="H104" s="287">
        <f t="shared" si="37"/>
        <v>-1</v>
      </c>
      <c r="I104" s="587"/>
      <c r="J104" s="375">
        <v>31922.560000000001</v>
      </c>
      <c r="K104" s="375">
        <f>SUM(K105:K108)</f>
        <v>0</v>
      </c>
      <c r="L104" s="286">
        <f t="shared" si="38"/>
        <v>-31922.560000000001</v>
      </c>
      <c r="M104" s="287">
        <f t="shared" si="39"/>
        <v>-1</v>
      </c>
      <c r="N104" s="587"/>
      <c r="O104" s="375">
        <v>76134.09</v>
      </c>
      <c r="P104" s="375">
        <f>SUM(P105:P108)</f>
        <v>0</v>
      </c>
      <c r="Q104" s="286">
        <f t="shared" si="40"/>
        <v>-76134.09</v>
      </c>
      <c r="R104" s="287">
        <f t="shared" si="41"/>
        <v>-1</v>
      </c>
      <c r="S104" s="587"/>
      <c r="T104" s="375">
        <v>104311.48</v>
      </c>
      <c r="U104" s="375">
        <f>SUM(U105:U108)</f>
        <v>0</v>
      </c>
      <c r="V104" s="286">
        <f t="shared" si="42"/>
        <v>-104311.48</v>
      </c>
      <c r="W104" s="287">
        <f t="shared" si="43"/>
        <v>-1</v>
      </c>
      <c r="X104" s="587"/>
      <c r="Y104" s="1"/>
    </row>
    <row r="105" spans="1:25" s="2" customFormat="1" ht="17.100000000000001" customHeight="1" x14ac:dyDescent="0.2">
      <c r="A105" s="278">
        <v>2311</v>
      </c>
      <c r="B105" s="48" t="s">
        <v>45</v>
      </c>
      <c r="C105" s="370">
        <v>11323.14</v>
      </c>
      <c r="D105" s="370">
        <v>11323.48</v>
      </c>
      <c r="E105" s="370">
        <v>3058.7</v>
      </c>
      <c r="F105" s="139"/>
      <c r="G105" s="140">
        <f t="shared" si="36"/>
        <v>-3058.7</v>
      </c>
      <c r="H105" s="141">
        <f t="shared" si="37"/>
        <v>-1</v>
      </c>
      <c r="I105" s="588"/>
      <c r="J105" s="370">
        <v>5696.45</v>
      </c>
      <c r="K105" s="139"/>
      <c r="L105" s="140">
        <f t="shared" si="38"/>
        <v>-5696.45</v>
      </c>
      <c r="M105" s="141">
        <f t="shared" si="39"/>
        <v>-1</v>
      </c>
      <c r="N105" s="588"/>
      <c r="O105" s="370">
        <v>8244.64</v>
      </c>
      <c r="P105" s="139"/>
      <c r="Q105" s="140">
        <f t="shared" si="40"/>
        <v>-8244.64</v>
      </c>
      <c r="R105" s="141">
        <f t="shared" si="41"/>
        <v>-1</v>
      </c>
      <c r="S105" s="588"/>
      <c r="T105" s="370">
        <v>11323.48</v>
      </c>
      <c r="U105" s="139"/>
      <c r="V105" s="140">
        <f t="shared" si="42"/>
        <v>-11323.48</v>
      </c>
      <c r="W105" s="141">
        <f t="shared" si="43"/>
        <v>-1</v>
      </c>
      <c r="X105" s="588"/>
      <c r="Y105" s="1"/>
    </row>
    <row r="106" spans="1:25" s="2" customFormat="1" ht="17.100000000000001" customHeight="1" x14ac:dyDescent="0.2">
      <c r="A106" s="278">
        <v>2312</v>
      </c>
      <c r="B106" s="48" t="s">
        <v>46</v>
      </c>
      <c r="C106" s="370">
        <v>57160.98</v>
      </c>
      <c r="D106" s="370">
        <v>57161.2</v>
      </c>
      <c r="E106" s="370">
        <v>11664.44</v>
      </c>
      <c r="F106" s="139"/>
      <c r="G106" s="140">
        <f t="shared" si="36"/>
        <v>-11664.44</v>
      </c>
      <c r="H106" s="141">
        <f t="shared" si="37"/>
        <v>-1</v>
      </c>
      <c r="I106" s="588"/>
      <c r="J106" s="370">
        <v>23353.019999999997</v>
      </c>
      <c r="K106" s="139"/>
      <c r="L106" s="140">
        <f t="shared" si="38"/>
        <v>-23353.019999999997</v>
      </c>
      <c r="M106" s="141">
        <f t="shared" si="39"/>
        <v>-1</v>
      </c>
      <c r="N106" s="588"/>
      <c r="O106" s="371">
        <v>43535.509999999995</v>
      </c>
      <c r="P106" s="139"/>
      <c r="Q106" s="140">
        <f t="shared" si="40"/>
        <v>-43535.509999999995</v>
      </c>
      <c r="R106" s="141">
        <f t="shared" si="41"/>
        <v>-1</v>
      </c>
      <c r="S106" s="588"/>
      <c r="T106" s="371">
        <v>57161.2</v>
      </c>
      <c r="U106" s="139"/>
      <c r="V106" s="140">
        <f t="shared" si="42"/>
        <v>-57161.2</v>
      </c>
      <c r="W106" s="141">
        <f t="shared" si="43"/>
        <v>-1</v>
      </c>
      <c r="X106" s="588"/>
      <c r="Y106" s="1"/>
    </row>
    <row r="107" spans="1:25" s="4" customFormat="1" ht="17.100000000000001" customHeight="1" x14ac:dyDescent="0.2">
      <c r="A107" s="278">
        <v>2313</v>
      </c>
      <c r="B107" s="48" t="s">
        <v>339</v>
      </c>
      <c r="C107" s="370">
        <v>35826.47</v>
      </c>
      <c r="D107" s="370">
        <v>35826.800000000003</v>
      </c>
      <c r="E107" s="370">
        <v>433.79</v>
      </c>
      <c r="F107" s="139"/>
      <c r="G107" s="140">
        <f t="shared" si="36"/>
        <v>-433.79</v>
      </c>
      <c r="H107" s="141">
        <f t="shared" si="37"/>
        <v>-1</v>
      </c>
      <c r="I107" s="588"/>
      <c r="J107" s="370">
        <v>2873.09</v>
      </c>
      <c r="K107" s="139"/>
      <c r="L107" s="160">
        <f t="shared" si="38"/>
        <v>-2873.09</v>
      </c>
      <c r="M107" s="161">
        <f t="shared" si="39"/>
        <v>-1</v>
      </c>
      <c r="N107" s="588"/>
      <c r="O107" s="371">
        <v>24353.94</v>
      </c>
      <c r="P107" s="139"/>
      <c r="Q107" s="140">
        <f t="shared" si="40"/>
        <v>-24353.94</v>
      </c>
      <c r="R107" s="141">
        <f t="shared" si="41"/>
        <v>-1</v>
      </c>
      <c r="S107" s="588"/>
      <c r="T107" s="371">
        <v>35826.800000000003</v>
      </c>
      <c r="U107" s="139"/>
      <c r="V107" s="140">
        <f t="shared" si="42"/>
        <v>-35826.800000000003</v>
      </c>
      <c r="W107" s="141">
        <f t="shared" si="43"/>
        <v>-1</v>
      </c>
      <c r="X107" s="588"/>
      <c r="Y107" s="1"/>
    </row>
    <row r="108" spans="1:25" s="2" customFormat="1" ht="31.5" x14ac:dyDescent="0.2">
      <c r="A108" s="278">
        <v>2314</v>
      </c>
      <c r="B108" s="159" t="s">
        <v>340</v>
      </c>
      <c r="C108" s="370"/>
      <c r="D108" s="370">
        <v>0</v>
      </c>
      <c r="E108" s="370">
        <v>0</v>
      </c>
      <c r="F108" s="139"/>
      <c r="G108" s="140">
        <f t="shared" si="36"/>
        <v>0</v>
      </c>
      <c r="H108" s="141" t="str">
        <f t="shared" si="37"/>
        <v>-</v>
      </c>
      <c r="I108" s="589"/>
      <c r="J108" s="370">
        <v>0</v>
      </c>
      <c r="K108" s="139"/>
      <c r="L108" s="140">
        <f t="shared" si="38"/>
        <v>0</v>
      </c>
      <c r="M108" s="141" t="str">
        <f t="shared" si="39"/>
        <v>-</v>
      </c>
      <c r="N108" s="589"/>
      <c r="O108" s="370">
        <v>0</v>
      </c>
      <c r="P108" s="139"/>
      <c r="Q108" s="140">
        <f t="shared" si="40"/>
        <v>0</v>
      </c>
      <c r="R108" s="141" t="str">
        <f t="shared" si="41"/>
        <v>-</v>
      </c>
      <c r="S108" s="589"/>
      <c r="T108" s="370">
        <v>0</v>
      </c>
      <c r="U108" s="139"/>
      <c r="V108" s="140">
        <f t="shared" si="42"/>
        <v>0</v>
      </c>
      <c r="W108" s="141" t="str">
        <f t="shared" si="43"/>
        <v>-</v>
      </c>
      <c r="X108" s="589"/>
      <c r="Y108" s="1"/>
    </row>
    <row r="109" spans="1:25" s="279" customFormat="1" ht="17.100000000000001" customHeight="1" x14ac:dyDescent="0.2">
      <c r="A109" s="156">
        <v>2320</v>
      </c>
      <c r="B109" s="162" t="s">
        <v>47</v>
      </c>
      <c r="C109" s="375">
        <f t="shared" ref="C109" si="53">SUM(C110:C112)</f>
        <v>2074.7199999999998</v>
      </c>
      <c r="D109" s="375">
        <v>2075.0500000000002</v>
      </c>
      <c r="E109" s="375">
        <v>513.93000000000006</v>
      </c>
      <c r="F109" s="282">
        <f>SUM(F110:F112)</f>
        <v>0</v>
      </c>
      <c r="G109" s="286">
        <f t="shared" si="36"/>
        <v>-513.93000000000006</v>
      </c>
      <c r="H109" s="287">
        <f t="shared" si="37"/>
        <v>-1</v>
      </c>
      <c r="I109" s="587"/>
      <c r="J109" s="375">
        <v>970.45</v>
      </c>
      <c r="K109" s="282">
        <f>SUM(K110:K112)</f>
        <v>0</v>
      </c>
      <c r="L109" s="286">
        <f t="shared" si="38"/>
        <v>-970.45</v>
      </c>
      <c r="M109" s="287">
        <f t="shared" si="39"/>
        <v>-1</v>
      </c>
      <c r="N109" s="587"/>
      <c r="O109" s="375">
        <v>1488.89</v>
      </c>
      <c r="P109" s="282">
        <f>SUM(P110:P112)</f>
        <v>0</v>
      </c>
      <c r="Q109" s="286">
        <f t="shared" si="40"/>
        <v>-1488.89</v>
      </c>
      <c r="R109" s="287">
        <f t="shared" si="41"/>
        <v>-1</v>
      </c>
      <c r="S109" s="587"/>
      <c r="T109" s="375">
        <v>2075.0500000000002</v>
      </c>
      <c r="U109" s="282">
        <f>SUM(U110:U112)</f>
        <v>0</v>
      </c>
      <c r="V109" s="286">
        <f t="shared" si="42"/>
        <v>-2075.0500000000002</v>
      </c>
      <c r="W109" s="287">
        <f t="shared" si="43"/>
        <v>-1</v>
      </c>
      <c r="X109" s="587"/>
      <c r="Y109" s="1"/>
    </row>
    <row r="110" spans="1:25" s="2" customFormat="1" ht="17.100000000000001" customHeight="1" x14ac:dyDescent="0.2">
      <c r="A110" s="95">
        <v>2321</v>
      </c>
      <c r="B110" s="48" t="s">
        <v>48</v>
      </c>
      <c r="C110" s="370"/>
      <c r="D110" s="370">
        <v>0</v>
      </c>
      <c r="E110" s="370">
        <v>0</v>
      </c>
      <c r="F110" s="139"/>
      <c r="G110" s="140">
        <f t="shared" si="36"/>
        <v>0</v>
      </c>
      <c r="H110" s="141" t="str">
        <f t="shared" si="37"/>
        <v>-</v>
      </c>
      <c r="I110" s="588"/>
      <c r="J110" s="370">
        <v>0</v>
      </c>
      <c r="K110" s="139"/>
      <c r="L110" s="140">
        <f t="shared" si="38"/>
        <v>0</v>
      </c>
      <c r="M110" s="141" t="str">
        <f t="shared" si="39"/>
        <v>-</v>
      </c>
      <c r="N110" s="588"/>
      <c r="O110" s="370">
        <v>0</v>
      </c>
      <c r="P110" s="139"/>
      <c r="Q110" s="140">
        <f t="shared" si="40"/>
        <v>0</v>
      </c>
      <c r="R110" s="141" t="str">
        <f t="shared" si="41"/>
        <v>-</v>
      </c>
      <c r="S110" s="588"/>
      <c r="T110" s="370">
        <v>0</v>
      </c>
      <c r="U110" s="139"/>
      <c r="V110" s="140">
        <f t="shared" si="42"/>
        <v>0</v>
      </c>
      <c r="W110" s="141" t="str">
        <f t="shared" si="43"/>
        <v>-</v>
      </c>
      <c r="X110" s="588"/>
      <c r="Y110" s="1"/>
    </row>
    <row r="111" spans="1:25" s="4" customFormat="1" ht="17.100000000000001" customHeight="1" x14ac:dyDescent="0.2">
      <c r="A111" s="95">
        <v>2322</v>
      </c>
      <c r="B111" s="48" t="s">
        <v>49</v>
      </c>
      <c r="C111" s="370">
        <v>2074.7199999999998</v>
      </c>
      <c r="D111" s="370">
        <v>2075.0500000000002</v>
      </c>
      <c r="E111" s="370">
        <v>513.93000000000006</v>
      </c>
      <c r="F111" s="139"/>
      <c r="G111" s="140">
        <f t="shared" si="36"/>
        <v>-513.93000000000006</v>
      </c>
      <c r="H111" s="141">
        <f t="shared" si="37"/>
        <v>-1</v>
      </c>
      <c r="I111" s="588"/>
      <c r="J111" s="370">
        <v>970.45</v>
      </c>
      <c r="K111" s="139"/>
      <c r="L111" s="140">
        <f t="shared" si="38"/>
        <v>-970.45</v>
      </c>
      <c r="M111" s="141">
        <f t="shared" si="39"/>
        <v>-1</v>
      </c>
      <c r="N111" s="588"/>
      <c r="O111" s="370">
        <v>1488.89</v>
      </c>
      <c r="P111" s="139"/>
      <c r="Q111" s="140">
        <f t="shared" si="40"/>
        <v>-1488.89</v>
      </c>
      <c r="R111" s="141">
        <f t="shared" si="41"/>
        <v>-1</v>
      </c>
      <c r="S111" s="588"/>
      <c r="T111" s="370">
        <v>2075.0500000000002</v>
      </c>
      <c r="U111" s="139"/>
      <c r="V111" s="140">
        <f t="shared" si="42"/>
        <v>-2075.0500000000002</v>
      </c>
      <c r="W111" s="141">
        <f t="shared" si="43"/>
        <v>-1</v>
      </c>
      <c r="X111" s="588"/>
      <c r="Y111" s="1"/>
    </row>
    <row r="112" spans="1:25" s="4" customFormat="1" ht="17.100000000000001" customHeight="1" x14ac:dyDescent="0.2">
      <c r="A112" s="95">
        <v>2329</v>
      </c>
      <c r="B112" s="48" t="s">
        <v>50</v>
      </c>
      <c r="C112" s="370"/>
      <c r="D112" s="370">
        <v>0</v>
      </c>
      <c r="E112" s="370">
        <v>0</v>
      </c>
      <c r="F112" s="139"/>
      <c r="G112" s="140">
        <f t="shared" si="36"/>
        <v>0</v>
      </c>
      <c r="H112" s="141" t="str">
        <f t="shared" si="37"/>
        <v>-</v>
      </c>
      <c r="I112" s="589"/>
      <c r="J112" s="370">
        <v>0</v>
      </c>
      <c r="K112" s="139"/>
      <c r="L112" s="140">
        <f t="shared" si="38"/>
        <v>0</v>
      </c>
      <c r="M112" s="141" t="str">
        <f t="shared" si="39"/>
        <v>-</v>
      </c>
      <c r="N112" s="589"/>
      <c r="O112" s="370">
        <v>0</v>
      </c>
      <c r="P112" s="139"/>
      <c r="Q112" s="140">
        <f t="shared" si="40"/>
        <v>0</v>
      </c>
      <c r="R112" s="141" t="str">
        <f t="shared" si="41"/>
        <v>-</v>
      </c>
      <c r="S112" s="589"/>
      <c r="T112" s="370">
        <v>0</v>
      </c>
      <c r="U112" s="139"/>
      <c r="V112" s="140">
        <f t="shared" si="42"/>
        <v>0</v>
      </c>
      <c r="W112" s="141" t="str">
        <f t="shared" si="43"/>
        <v>-</v>
      </c>
      <c r="X112" s="589"/>
      <c r="Y112" s="1"/>
    </row>
    <row r="113" spans="1:25" s="279" customFormat="1" ht="17.100000000000001" customHeight="1" x14ac:dyDescent="0.2">
      <c r="A113" s="156">
        <v>2330</v>
      </c>
      <c r="B113" s="165" t="s">
        <v>51</v>
      </c>
      <c r="C113" s="372"/>
      <c r="D113" s="372">
        <v>0</v>
      </c>
      <c r="E113" s="372">
        <v>0</v>
      </c>
      <c r="F113" s="163"/>
      <c r="G113" s="286">
        <f t="shared" si="36"/>
        <v>0</v>
      </c>
      <c r="H113" s="287" t="str">
        <f t="shared" si="37"/>
        <v>-</v>
      </c>
      <c r="I113" s="431"/>
      <c r="J113" s="372">
        <v>0</v>
      </c>
      <c r="K113" s="163"/>
      <c r="L113" s="286">
        <f t="shared" si="38"/>
        <v>0</v>
      </c>
      <c r="M113" s="287" t="str">
        <f t="shared" si="39"/>
        <v>-</v>
      </c>
      <c r="N113" s="288"/>
      <c r="O113" s="372">
        <v>0</v>
      </c>
      <c r="P113" s="163"/>
      <c r="Q113" s="286">
        <f t="shared" si="40"/>
        <v>0</v>
      </c>
      <c r="R113" s="287" t="str">
        <f t="shared" si="41"/>
        <v>-</v>
      </c>
      <c r="S113" s="288"/>
      <c r="T113" s="372">
        <v>0</v>
      </c>
      <c r="U113" s="163"/>
      <c r="V113" s="286">
        <f t="shared" si="42"/>
        <v>0</v>
      </c>
      <c r="W113" s="287" t="str">
        <f t="shared" si="43"/>
        <v>-</v>
      </c>
      <c r="X113" s="288"/>
      <c r="Y113" s="1"/>
    </row>
    <row r="114" spans="1:25" s="279" customFormat="1" ht="47.25" x14ac:dyDescent="0.2">
      <c r="A114" s="156">
        <v>2340</v>
      </c>
      <c r="B114" s="162" t="s">
        <v>52</v>
      </c>
      <c r="C114" s="372">
        <f>C115+C116+C117</f>
        <v>6381072.79</v>
      </c>
      <c r="D114" s="372">
        <v>6582121.7299999995</v>
      </c>
      <c r="E114" s="372">
        <v>1781889.43</v>
      </c>
      <c r="F114" s="372">
        <f>F115+F116+F117</f>
        <v>0</v>
      </c>
      <c r="G114" s="286">
        <f t="shared" si="36"/>
        <v>-1781889.43</v>
      </c>
      <c r="H114" s="287">
        <f t="shared" si="37"/>
        <v>-1</v>
      </c>
      <c r="I114" s="590"/>
      <c r="J114" s="372">
        <v>3211221.17</v>
      </c>
      <c r="K114" s="372">
        <f>K115+K116+K117</f>
        <v>0</v>
      </c>
      <c r="L114" s="286">
        <f t="shared" si="38"/>
        <v>-3211221.17</v>
      </c>
      <c r="M114" s="287">
        <f t="shared" si="39"/>
        <v>-1</v>
      </c>
      <c r="N114" s="590"/>
      <c r="O114" s="372">
        <v>4710571.22</v>
      </c>
      <c r="P114" s="372">
        <f>P115+P116+P117</f>
        <v>0</v>
      </c>
      <c r="Q114" s="286">
        <f t="shared" si="40"/>
        <v>-4710571.22</v>
      </c>
      <c r="R114" s="287">
        <f t="shared" si="41"/>
        <v>-1</v>
      </c>
      <c r="S114" s="590"/>
      <c r="T114" s="372">
        <v>6582121.7299999995</v>
      </c>
      <c r="U114" s="372">
        <f>U115+U116+U117</f>
        <v>0</v>
      </c>
      <c r="V114" s="286">
        <f t="shared" si="42"/>
        <v>-6582121.7299999995</v>
      </c>
      <c r="W114" s="287">
        <f t="shared" si="43"/>
        <v>-1</v>
      </c>
      <c r="X114" s="590"/>
      <c r="Y114" s="1"/>
    </row>
    <row r="115" spans="1:25" s="2" customFormat="1" ht="17.100000000000001" customHeight="1" x14ac:dyDescent="0.2">
      <c r="A115" s="289">
        <v>2341</v>
      </c>
      <c r="B115" s="166" t="s">
        <v>53</v>
      </c>
      <c r="C115" s="376">
        <f>937452.39-C116</f>
        <v>862088.6</v>
      </c>
      <c r="D115" s="376">
        <v>935651.17</v>
      </c>
      <c r="E115" s="376">
        <v>226952.53999999998</v>
      </c>
      <c r="F115" s="376"/>
      <c r="G115" s="154">
        <f t="shared" si="36"/>
        <v>-226952.53999999998</v>
      </c>
      <c r="H115" s="155">
        <f t="shared" si="37"/>
        <v>-1</v>
      </c>
      <c r="I115" s="591"/>
      <c r="J115" s="376">
        <v>451220.06999999995</v>
      </c>
      <c r="K115" s="376"/>
      <c r="L115" s="154">
        <f t="shared" si="38"/>
        <v>-451220.06999999995</v>
      </c>
      <c r="M115" s="155">
        <f t="shared" si="39"/>
        <v>-1</v>
      </c>
      <c r="N115" s="591"/>
      <c r="O115" s="376">
        <v>688215.87</v>
      </c>
      <c r="P115" s="376"/>
      <c r="Q115" s="154">
        <f t="shared" si="40"/>
        <v>-688215.87</v>
      </c>
      <c r="R115" s="155">
        <f t="shared" si="41"/>
        <v>-1</v>
      </c>
      <c r="S115" s="591"/>
      <c r="T115" s="376">
        <v>935651.17</v>
      </c>
      <c r="U115" s="376"/>
      <c r="V115" s="154">
        <f t="shared" si="42"/>
        <v>-935651.17</v>
      </c>
      <c r="W115" s="155">
        <f t="shared" si="43"/>
        <v>-1</v>
      </c>
      <c r="X115" s="591"/>
      <c r="Y115" s="1"/>
    </row>
    <row r="116" spans="1:25" s="4" customFormat="1" ht="17.100000000000001" customHeight="1" x14ac:dyDescent="0.2">
      <c r="A116" s="289">
        <v>2343</v>
      </c>
      <c r="B116" s="166" t="s">
        <v>297</v>
      </c>
      <c r="C116" s="376">
        <f>75363.79</f>
        <v>75363.789999999994</v>
      </c>
      <c r="D116" s="376">
        <v>75364.22</v>
      </c>
      <c r="E116" s="376">
        <v>17399.510000000002</v>
      </c>
      <c r="F116" s="376"/>
      <c r="G116" s="167">
        <f t="shared" si="36"/>
        <v>-17399.510000000002</v>
      </c>
      <c r="H116" s="155">
        <f t="shared" si="37"/>
        <v>-1</v>
      </c>
      <c r="I116" s="591"/>
      <c r="J116" s="376">
        <v>37044.119999999995</v>
      </c>
      <c r="K116" s="376"/>
      <c r="L116" s="167">
        <f t="shared" si="38"/>
        <v>-37044.119999999995</v>
      </c>
      <c r="M116" s="155">
        <f t="shared" si="39"/>
        <v>-1</v>
      </c>
      <c r="N116" s="591"/>
      <c r="O116" s="376">
        <v>58743.08</v>
      </c>
      <c r="P116" s="376"/>
      <c r="Q116" s="167">
        <f t="shared" si="40"/>
        <v>-58743.08</v>
      </c>
      <c r="R116" s="155">
        <f t="shared" si="41"/>
        <v>-1</v>
      </c>
      <c r="S116" s="591"/>
      <c r="T116" s="376">
        <v>75364.22</v>
      </c>
      <c r="U116" s="376"/>
      <c r="V116" s="167">
        <f t="shared" si="42"/>
        <v>-75364.22</v>
      </c>
      <c r="W116" s="155">
        <f t="shared" si="43"/>
        <v>-1</v>
      </c>
      <c r="X116" s="591"/>
      <c r="Y116" s="1"/>
    </row>
    <row r="117" spans="1:25" s="4" customFormat="1" ht="31.5" x14ac:dyDescent="0.2">
      <c r="A117" s="289">
        <v>2344</v>
      </c>
      <c r="B117" s="166" t="s">
        <v>299</v>
      </c>
      <c r="C117" s="376">
        <v>5443620.4000000004</v>
      </c>
      <c r="D117" s="376">
        <v>5571106.3399999999</v>
      </c>
      <c r="E117" s="376">
        <v>1537537.38</v>
      </c>
      <c r="F117" s="376"/>
      <c r="G117" s="154">
        <f t="shared" si="36"/>
        <v>-1537537.38</v>
      </c>
      <c r="H117" s="155">
        <f t="shared" si="37"/>
        <v>-1</v>
      </c>
      <c r="I117" s="592"/>
      <c r="J117" s="376">
        <v>2722956.9799999995</v>
      </c>
      <c r="K117" s="376"/>
      <c r="L117" s="154">
        <f t="shared" si="38"/>
        <v>-2722956.9799999995</v>
      </c>
      <c r="M117" s="155">
        <f t="shared" si="39"/>
        <v>-1</v>
      </c>
      <c r="N117" s="592"/>
      <c r="O117" s="376">
        <v>3963612.2699999996</v>
      </c>
      <c r="P117" s="376"/>
      <c r="Q117" s="154">
        <f t="shared" si="40"/>
        <v>-3963612.2699999996</v>
      </c>
      <c r="R117" s="155">
        <f t="shared" si="41"/>
        <v>-1</v>
      </c>
      <c r="S117" s="592"/>
      <c r="T117" s="376">
        <v>5571106.3399999999</v>
      </c>
      <c r="U117" s="376"/>
      <c r="V117" s="154">
        <f t="shared" si="42"/>
        <v>-5571106.3399999999</v>
      </c>
      <c r="W117" s="155">
        <f t="shared" si="43"/>
        <v>-1</v>
      </c>
      <c r="X117" s="592"/>
      <c r="Y117" s="1"/>
    </row>
    <row r="118" spans="1:25" s="279" customFormat="1" ht="17.100000000000001" customHeight="1" x14ac:dyDescent="0.2">
      <c r="A118" s="156">
        <v>2350</v>
      </c>
      <c r="B118" s="165" t="s">
        <v>341</v>
      </c>
      <c r="C118" s="372">
        <v>11888.3</v>
      </c>
      <c r="D118" s="372">
        <v>11888.460000000003</v>
      </c>
      <c r="E118" s="372">
        <v>2920.94</v>
      </c>
      <c r="F118" s="372"/>
      <c r="G118" s="286">
        <f t="shared" si="36"/>
        <v>-2920.94</v>
      </c>
      <c r="H118" s="287">
        <f t="shared" si="37"/>
        <v>-1</v>
      </c>
      <c r="I118" s="431"/>
      <c r="J118" s="372">
        <v>5271.01</v>
      </c>
      <c r="K118" s="372"/>
      <c r="L118" s="286">
        <f t="shared" si="38"/>
        <v>-5271.01</v>
      </c>
      <c r="M118" s="287">
        <f t="shared" si="39"/>
        <v>-1</v>
      </c>
      <c r="N118" s="288"/>
      <c r="O118" s="372">
        <v>8071.9700000000012</v>
      </c>
      <c r="P118" s="372"/>
      <c r="Q118" s="286">
        <f t="shared" si="40"/>
        <v>-8071.9700000000012</v>
      </c>
      <c r="R118" s="287">
        <f t="shared" si="41"/>
        <v>-1</v>
      </c>
      <c r="S118" s="288"/>
      <c r="T118" s="372">
        <v>11888.460000000003</v>
      </c>
      <c r="U118" s="372"/>
      <c r="V118" s="286">
        <f t="shared" si="42"/>
        <v>-11888.460000000003</v>
      </c>
      <c r="W118" s="287">
        <f t="shared" si="43"/>
        <v>-1</v>
      </c>
      <c r="X118" s="288"/>
      <c r="Y118" s="1"/>
    </row>
    <row r="119" spans="1:25" s="279" customFormat="1" ht="31.5" customHeight="1" x14ac:dyDescent="0.2">
      <c r="A119" s="156">
        <v>2360</v>
      </c>
      <c r="B119" s="162" t="s">
        <v>342</v>
      </c>
      <c r="C119" s="375">
        <f t="shared" ref="C119" si="54">SUM(C120:C125)</f>
        <v>287453.56</v>
      </c>
      <c r="D119" s="375">
        <v>289754.78999999998</v>
      </c>
      <c r="E119" s="375">
        <v>78215.11</v>
      </c>
      <c r="F119" s="282">
        <f>SUM(F120:F125)</f>
        <v>0</v>
      </c>
      <c r="G119" s="286">
        <f t="shared" si="36"/>
        <v>-78215.11</v>
      </c>
      <c r="H119" s="287">
        <f t="shared" si="37"/>
        <v>-1</v>
      </c>
      <c r="I119" s="587"/>
      <c r="J119" s="375">
        <v>143438.51</v>
      </c>
      <c r="K119" s="282">
        <f>SUM(K120:K125)</f>
        <v>0</v>
      </c>
      <c r="L119" s="286">
        <f t="shared" si="38"/>
        <v>-143438.51</v>
      </c>
      <c r="M119" s="287">
        <f t="shared" si="39"/>
        <v>-1</v>
      </c>
      <c r="N119" s="587"/>
      <c r="O119" s="375">
        <v>216182.69</v>
      </c>
      <c r="P119" s="282">
        <f>SUM(P120:P125)</f>
        <v>0</v>
      </c>
      <c r="Q119" s="286">
        <f t="shared" si="40"/>
        <v>-216182.69</v>
      </c>
      <c r="R119" s="287">
        <f t="shared" si="41"/>
        <v>-1</v>
      </c>
      <c r="S119" s="587"/>
      <c r="T119" s="375">
        <v>289754.78999999998</v>
      </c>
      <c r="U119" s="282">
        <f>SUM(U120:U125)</f>
        <v>0</v>
      </c>
      <c r="V119" s="286">
        <f t="shared" si="42"/>
        <v>-289754.78999999998</v>
      </c>
      <c r="W119" s="287">
        <f t="shared" si="43"/>
        <v>-1</v>
      </c>
      <c r="X119" s="587"/>
      <c r="Y119" s="1"/>
    </row>
    <row r="120" spans="1:25" s="2" customFormat="1" ht="17.100000000000001" customHeight="1" x14ac:dyDescent="0.2">
      <c r="A120" s="278">
        <v>2361</v>
      </c>
      <c r="B120" s="159" t="s">
        <v>54</v>
      </c>
      <c r="C120" s="370">
        <v>7242.08</v>
      </c>
      <c r="D120" s="370">
        <v>7311.420000000001</v>
      </c>
      <c r="E120" s="370">
        <v>2667.58</v>
      </c>
      <c r="F120" s="139"/>
      <c r="G120" s="140">
        <f t="shared" si="36"/>
        <v>-2667.58</v>
      </c>
      <c r="H120" s="141">
        <f>IFERROR(G120/ABS(E120), "-")</f>
        <v>-1</v>
      </c>
      <c r="I120" s="588"/>
      <c r="J120" s="370">
        <v>2886.48</v>
      </c>
      <c r="K120" s="139"/>
      <c r="L120" s="140">
        <f t="shared" si="38"/>
        <v>-2886.48</v>
      </c>
      <c r="M120" s="141">
        <f t="shared" si="39"/>
        <v>-1</v>
      </c>
      <c r="N120" s="588"/>
      <c r="O120" s="371">
        <v>6449.8600000000006</v>
      </c>
      <c r="P120" s="139"/>
      <c r="Q120" s="140">
        <f t="shared" si="40"/>
        <v>-6449.8600000000006</v>
      </c>
      <c r="R120" s="141">
        <f t="shared" si="41"/>
        <v>-1</v>
      </c>
      <c r="S120" s="588"/>
      <c r="T120" s="371">
        <v>7311.420000000001</v>
      </c>
      <c r="U120" s="139"/>
      <c r="V120" s="140">
        <f t="shared" si="42"/>
        <v>-7311.420000000001</v>
      </c>
      <c r="W120" s="141">
        <f t="shared" si="43"/>
        <v>-1</v>
      </c>
      <c r="X120" s="588"/>
      <c r="Y120" s="1"/>
    </row>
    <row r="121" spans="1:25" s="2" customFormat="1" ht="17.100000000000001" customHeight="1" x14ac:dyDescent="0.2">
      <c r="A121" s="278">
        <v>2362</v>
      </c>
      <c r="B121" s="159" t="s">
        <v>55</v>
      </c>
      <c r="C121" s="370">
        <v>1028.93</v>
      </c>
      <c r="D121" s="370">
        <v>1028.9299999999998</v>
      </c>
      <c r="E121" s="370">
        <v>662.93</v>
      </c>
      <c r="F121" s="139"/>
      <c r="G121" s="140">
        <f t="shared" si="36"/>
        <v>-662.93</v>
      </c>
      <c r="H121" s="141">
        <f t="shared" si="37"/>
        <v>-1</v>
      </c>
      <c r="I121" s="588"/>
      <c r="J121" s="370">
        <v>662.93</v>
      </c>
      <c r="K121" s="139"/>
      <c r="L121" s="140">
        <f t="shared" si="38"/>
        <v>-662.93</v>
      </c>
      <c r="M121" s="141">
        <f t="shared" si="39"/>
        <v>-1</v>
      </c>
      <c r="N121" s="588"/>
      <c r="O121" s="371">
        <v>1028.9299999999998</v>
      </c>
      <c r="P121" s="139"/>
      <c r="Q121" s="140">
        <f t="shared" si="40"/>
        <v>-1028.9299999999998</v>
      </c>
      <c r="R121" s="141">
        <f t="shared" si="41"/>
        <v>-1</v>
      </c>
      <c r="S121" s="588"/>
      <c r="T121" s="370">
        <v>1028.9299999999998</v>
      </c>
      <c r="U121" s="139"/>
      <c r="V121" s="140">
        <f t="shared" si="42"/>
        <v>-1028.9299999999998</v>
      </c>
      <c r="W121" s="141">
        <f t="shared" si="43"/>
        <v>-1</v>
      </c>
      <c r="X121" s="588"/>
      <c r="Y121" s="1"/>
    </row>
    <row r="122" spans="1:25" s="2" customFormat="1" ht="17.100000000000001" customHeight="1" x14ac:dyDescent="0.2">
      <c r="A122" s="278">
        <v>2363</v>
      </c>
      <c r="B122" s="159" t="s">
        <v>56</v>
      </c>
      <c r="C122" s="370">
        <v>279182.55</v>
      </c>
      <c r="D122" s="370">
        <v>281414.44</v>
      </c>
      <c r="E122" s="370">
        <v>74884.599999999991</v>
      </c>
      <c r="F122" s="139"/>
      <c r="G122" s="140">
        <f t="shared" si="36"/>
        <v>-74884.599999999991</v>
      </c>
      <c r="H122" s="141">
        <f t="shared" si="37"/>
        <v>-1</v>
      </c>
      <c r="I122" s="588"/>
      <c r="J122" s="370">
        <v>139889.09999999998</v>
      </c>
      <c r="K122" s="139"/>
      <c r="L122" s="140">
        <f t="shared" si="38"/>
        <v>-139889.09999999998</v>
      </c>
      <c r="M122" s="141">
        <f t="shared" si="39"/>
        <v>-1</v>
      </c>
      <c r="N122" s="588"/>
      <c r="O122" s="370">
        <v>208703.89999999997</v>
      </c>
      <c r="P122" s="139"/>
      <c r="Q122" s="140">
        <f t="shared" si="40"/>
        <v>-208703.89999999997</v>
      </c>
      <c r="R122" s="141">
        <f t="shared" si="41"/>
        <v>-1</v>
      </c>
      <c r="S122" s="588"/>
      <c r="T122" s="370">
        <v>281414.44</v>
      </c>
      <c r="U122" s="139"/>
      <c r="V122" s="140">
        <f t="shared" si="42"/>
        <v>-281414.44</v>
      </c>
      <c r="W122" s="141">
        <f t="shared" si="43"/>
        <v>-1</v>
      </c>
      <c r="X122" s="588"/>
      <c r="Y122" s="1"/>
    </row>
    <row r="123" spans="1:25" s="2" customFormat="1" ht="17.100000000000001" customHeight="1" x14ac:dyDescent="0.2">
      <c r="A123" s="278">
        <v>2364</v>
      </c>
      <c r="B123" s="159" t="s">
        <v>343</v>
      </c>
      <c r="C123" s="370"/>
      <c r="D123" s="370">
        <v>0</v>
      </c>
      <c r="E123" s="370">
        <v>0</v>
      </c>
      <c r="F123" s="139"/>
      <c r="G123" s="140">
        <f t="shared" si="36"/>
        <v>0</v>
      </c>
      <c r="H123" s="141" t="str">
        <f t="shared" si="37"/>
        <v>-</v>
      </c>
      <c r="I123" s="588"/>
      <c r="J123" s="370">
        <v>0</v>
      </c>
      <c r="K123" s="139"/>
      <c r="L123" s="140">
        <f t="shared" si="38"/>
        <v>0</v>
      </c>
      <c r="M123" s="141" t="str">
        <f t="shared" si="39"/>
        <v>-</v>
      </c>
      <c r="N123" s="588"/>
      <c r="O123" s="370">
        <v>0</v>
      </c>
      <c r="P123" s="139"/>
      <c r="Q123" s="140">
        <f t="shared" si="40"/>
        <v>0</v>
      </c>
      <c r="R123" s="141" t="str">
        <f t="shared" si="41"/>
        <v>-</v>
      </c>
      <c r="S123" s="588"/>
      <c r="T123" s="370">
        <v>0</v>
      </c>
      <c r="U123" s="139"/>
      <c r="V123" s="140">
        <f t="shared" si="42"/>
        <v>0</v>
      </c>
      <c r="W123" s="141" t="str">
        <f t="shared" si="43"/>
        <v>-</v>
      </c>
      <c r="X123" s="588"/>
      <c r="Y123" s="1"/>
    </row>
    <row r="124" spans="1:25" s="4" customFormat="1" ht="17.100000000000001" customHeight="1" x14ac:dyDescent="0.2">
      <c r="A124" s="278">
        <v>2366</v>
      </c>
      <c r="B124" s="159" t="s">
        <v>57</v>
      </c>
      <c r="C124" s="370"/>
      <c r="D124" s="370">
        <v>0</v>
      </c>
      <c r="E124" s="370">
        <v>0</v>
      </c>
      <c r="F124" s="139"/>
      <c r="G124" s="140">
        <f t="shared" si="36"/>
        <v>0</v>
      </c>
      <c r="H124" s="141" t="str">
        <f t="shared" si="37"/>
        <v>-</v>
      </c>
      <c r="I124" s="588"/>
      <c r="J124" s="370">
        <v>0</v>
      </c>
      <c r="K124" s="139"/>
      <c r="L124" s="140">
        <f t="shared" si="38"/>
        <v>0</v>
      </c>
      <c r="M124" s="141" t="str">
        <f t="shared" si="39"/>
        <v>-</v>
      </c>
      <c r="N124" s="588"/>
      <c r="O124" s="370">
        <v>0</v>
      </c>
      <c r="P124" s="139"/>
      <c r="Q124" s="140">
        <f t="shared" si="40"/>
        <v>0</v>
      </c>
      <c r="R124" s="141" t="str">
        <f t="shared" si="41"/>
        <v>-</v>
      </c>
      <c r="S124" s="588"/>
      <c r="T124" s="370">
        <v>0</v>
      </c>
      <c r="U124" s="139"/>
      <c r="V124" s="140">
        <f t="shared" si="42"/>
        <v>0</v>
      </c>
      <c r="W124" s="141" t="str">
        <f t="shared" si="43"/>
        <v>-</v>
      </c>
      <c r="X124" s="588"/>
      <c r="Y124" s="1"/>
    </row>
    <row r="125" spans="1:25" s="4" customFormat="1" ht="35.1" customHeight="1" x14ac:dyDescent="0.2">
      <c r="A125" s="278">
        <v>2369</v>
      </c>
      <c r="B125" s="159" t="s">
        <v>134</v>
      </c>
      <c r="C125" s="139"/>
      <c r="D125" s="370">
        <v>0</v>
      </c>
      <c r="E125" s="370">
        <v>0</v>
      </c>
      <c r="F125" s="139"/>
      <c r="G125" s="140">
        <f t="shared" si="36"/>
        <v>0</v>
      </c>
      <c r="H125" s="141" t="str">
        <f t="shared" si="37"/>
        <v>-</v>
      </c>
      <c r="I125" s="589"/>
      <c r="J125" s="370">
        <v>0</v>
      </c>
      <c r="K125" s="139"/>
      <c r="L125" s="140">
        <f t="shared" si="38"/>
        <v>0</v>
      </c>
      <c r="M125" s="141" t="str">
        <f t="shared" si="39"/>
        <v>-</v>
      </c>
      <c r="N125" s="589"/>
      <c r="O125" s="370">
        <v>0</v>
      </c>
      <c r="P125" s="139"/>
      <c r="Q125" s="140">
        <f t="shared" si="40"/>
        <v>0</v>
      </c>
      <c r="R125" s="141" t="str">
        <f t="shared" si="41"/>
        <v>-</v>
      </c>
      <c r="S125" s="589"/>
      <c r="T125" s="370">
        <v>0</v>
      </c>
      <c r="U125" s="139"/>
      <c r="V125" s="140">
        <f t="shared" si="42"/>
        <v>0</v>
      </c>
      <c r="W125" s="141" t="str">
        <f t="shared" si="43"/>
        <v>-</v>
      </c>
      <c r="X125" s="589"/>
      <c r="Y125" s="1"/>
    </row>
    <row r="126" spans="1:25" s="279" customFormat="1" ht="17.100000000000001" customHeight="1" x14ac:dyDescent="0.2">
      <c r="A126" s="156">
        <v>2370</v>
      </c>
      <c r="B126" s="165" t="s">
        <v>58</v>
      </c>
      <c r="C126" s="146"/>
      <c r="D126" s="372">
        <v>0</v>
      </c>
      <c r="E126" s="372">
        <v>0</v>
      </c>
      <c r="F126" s="146"/>
      <c r="G126" s="286">
        <f t="shared" si="36"/>
        <v>0</v>
      </c>
      <c r="H126" s="287" t="str">
        <f t="shared" si="37"/>
        <v>-</v>
      </c>
      <c r="I126" s="288"/>
      <c r="J126" s="372">
        <v>0</v>
      </c>
      <c r="K126" s="146"/>
      <c r="L126" s="286">
        <f t="shared" si="38"/>
        <v>0</v>
      </c>
      <c r="M126" s="287" t="str">
        <f t="shared" si="39"/>
        <v>-</v>
      </c>
      <c r="N126" s="288"/>
      <c r="O126" s="372">
        <v>0</v>
      </c>
      <c r="P126" s="146"/>
      <c r="Q126" s="286">
        <f t="shared" si="40"/>
        <v>0</v>
      </c>
      <c r="R126" s="287" t="str">
        <f t="shared" si="41"/>
        <v>-</v>
      </c>
      <c r="S126" s="288"/>
      <c r="T126" s="372">
        <v>0</v>
      </c>
      <c r="U126" s="146"/>
      <c r="V126" s="286">
        <f t="shared" si="42"/>
        <v>0</v>
      </c>
      <c r="W126" s="287" t="str">
        <f t="shared" si="43"/>
        <v>-</v>
      </c>
      <c r="X126" s="288"/>
      <c r="Y126" s="1"/>
    </row>
    <row r="127" spans="1:25" s="279" customFormat="1" ht="17.100000000000001" customHeight="1" x14ac:dyDescent="0.2">
      <c r="A127" s="156">
        <v>2380</v>
      </c>
      <c r="B127" s="165" t="s">
        <v>59</v>
      </c>
      <c r="C127" s="163"/>
      <c r="D127" s="372">
        <v>0</v>
      </c>
      <c r="E127" s="372">
        <v>0</v>
      </c>
      <c r="F127" s="163"/>
      <c r="G127" s="286">
        <f t="shared" si="36"/>
        <v>0</v>
      </c>
      <c r="H127" s="287" t="str">
        <f t="shared" si="37"/>
        <v>-</v>
      </c>
      <c r="I127" s="288"/>
      <c r="J127" s="372">
        <v>0</v>
      </c>
      <c r="K127" s="163"/>
      <c r="L127" s="286">
        <f t="shared" si="38"/>
        <v>0</v>
      </c>
      <c r="M127" s="287" t="str">
        <f t="shared" si="39"/>
        <v>-</v>
      </c>
      <c r="N127" s="288"/>
      <c r="O127" s="372">
        <v>0</v>
      </c>
      <c r="P127" s="163"/>
      <c r="Q127" s="286">
        <f t="shared" si="40"/>
        <v>0</v>
      </c>
      <c r="R127" s="287" t="str">
        <f t="shared" si="41"/>
        <v>-</v>
      </c>
      <c r="S127" s="288"/>
      <c r="T127" s="372">
        <v>0</v>
      </c>
      <c r="U127" s="163"/>
      <c r="V127" s="286">
        <f t="shared" si="42"/>
        <v>0</v>
      </c>
      <c r="W127" s="287" t="str">
        <f t="shared" si="43"/>
        <v>-</v>
      </c>
      <c r="X127" s="288"/>
      <c r="Y127" s="1"/>
    </row>
    <row r="128" spans="1:25" s="281" customFormat="1" ht="17.100000000000001" customHeight="1" x14ac:dyDescent="0.2">
      <c r="A128" s="156">
        <v>2390</v>
      </c>
      <c r="B128" s="165" t="s">
        <v>60</v>
      </c>
      <c r="C128" s="146"/>
      <c r="D128" s="372">
        <v>0</v>
      </c>
      <c r="E128" s="372">
        <v>0</v>
      </c>
      <c r="F128" s="146"/>
      <c r="G128" s="286">
        <f t="shared" si="36"/>
        <v>0</v>
      </c>
      <c r="H128" s="287" t="str">
        <f t="shared" si="37"/>
        <v>-</v>
      </c>
      <c r="I128" s="288"/>
      <c r="J128" s="372">
        <v>0</v>
      </c>
      <c r="K128" s="146"/>
      <c r="L128" s="286">
        <f t="shared" si="38"/>
        <v>0</v>
      </c>
      <c r="M128" s="287" t="str">
        <f t="shared" si="39"/>
        <v>-</v>
      </c>
      <c r="N128" s="288"/>
      <c r="O128" s="372">
        <v>0</v>
      </c>
      <c r="P128" s="146"/>
      <c r="Q128" s="286">
        <f t="shared" si="40"/>
        <v>0</v>
      </c>
      <c r="R128" s="287" t="str">
        <f t="shared" si="41"/>
        <v>-</v>
      </c>
      <c r="S128" s="288"/>
      <c r="T128" s="372">
        <v>0</v>
      </c>
      <c r="U128" s="146"/>
      <c r="V128" s="286">
        <f t="shared" si="42"/>
        <v>0</v>
      </c>
      <c r="W128" s="287" t="str">
        <f t="shared" si="43"/>
        <v>-</v>
      </c>
      <c r="X128" s="288"/>
      <c r="Y128" s="1"/>
    </row>
    <row r="129" spans="1:25" ht="17.100000000000001" customHeight="1" x14ac:dyDescent="0.2">
      <c r="A129" s="123">
        <v>2500</v>
      </c>
      <c r="B129" s="178" t="s">
        <v>344</v>
      </c>
      <c r="C129" s="369">
        <f t="shared" ref="C129" si="55">SUM(C130+C138)</f>
        <v>1717444.31</v>
      </c>
      <c r="D129" s="369">
        <v>1768014.7</v>
      </c>
      <c r="E129" s="369">
        <v>506892.16000000003</v>
      </c>
      <c r="F129" s="177">
        <f t="shared" ref="F129" si="56">SUM(F130+F138)</f>
        <v>0</v>
      </c>
      <c r="G129" s="173">
        <f t="shared" si="36"/>
        <v>-506892.16000000003</v>
      </c>
      <c r="H129" s="174">
        <f t="shared" si="37"/>
        <v>-1</v>
      </c>
      <c r="I129" s="183"/>
      <c r="J129" s="369">
        <v>907070.17</v>
      </c>
      <c r="K129" s="177">
        <f t="shared" ref="K129" si="57">SUM(K130+K138)</f>
        <v>0</v>
      </c>
      <c r="L129" s="173">
        <f t="shared" si="38"/>
        <v>-907070.17</v>
      </c>
      <c r="M129" s="174">
        <f t="shared" si="39"/>
        <v>-1</v>
      </c>
      <c r="N129" s="183"/>
      <c r="O129" s="369">
        <v>1307456.95</v>
      </c>
      <c r="P129" s="177">
        <f t="shared" ref="P129" si="58">SUM(P130+P138)</f>
        <v>0</v>
      </c>
      <c r="Q129" s="173">
        <f t="shared" si="40"/>
        <v>-1307456.95</v>
      </c>
      <c r="R129" s="174">
        <f t="shared" si="41"/>
        <v>-1</v>
      </c>
      <c r="S129" s="183"/>
      <c r="T129" s="369">
        <v>1768014.7</v>
      </c>
      <c r="U129" s="177">
        <f t="shared" ref="U129" si="59">SUM(U130+U138)</f>
        <v>0</v>
      </c>
      <c r="V129" s="173">
        <f t="shared" si="42"/>
        <v>-1768014.7</v>
      </c>
      <c r="W129" s="174">
        <f t="shared" si="43"/>
        <v>-1</v>
      </c>
      <c r="X129" s="183"/>
    </row>
    <row r="130" spans="1:25" s="281" customFormat="1" ht="17.100000000000001" customHeight="1" x14ac:dyDescent="0.2">
      <c r="A130" s="156">
        <v>2510</v>
      </c>
      <c r="B130" s="165" t="s">
        <v>345</v>
      </c>
      <c r="C130" s="375">
        <f t="shared" ref="C130" si="60">SUM(C131:C137)</f>
        <v>1717444.31</v>
      </c>
      <c r="D130" s="375">
        <v>1768014.7</v>
      </c>
      <c r="E130" s="375">
        <v>506892.16000000003</v>
      </c>
      <c r="F130" s="272">
        <f>SUM(F131:F137)</f>
        <v>0</v>
      </c>
      <c r="G130" s="147">
        <f t="shared" si="36"/>
        <v>-506892.16000000003</v>
      </c>
      <c r="H130" s="148">
        <f t="shared" si="37"/>
        <v>-1</v>
      </c>
      <c r="I130" s="586"/>
      <c r="J130" s="375">
        <v>907070.17</v>
      </c>
      <c r="K130" s="272">
        <f>SUM(K131:K137)</f>
        <v>0</v>
      </c>
      <c r="L130" s="147">
        <f t="shared" si="38"/>
        <v>-907070.17</v>
      </c>
      <c r="M130" s="148">
        <f t="shared" si="39"/>
        <v>-1</v>
      </c>
      <c r="N130" s="586"/>
      <c r="O130" s="375">
        <v>1307456.95</v>
      </c>
      <c r="P130" s="272">
        <f>SUM(P131:P137)</f>
        <v>0</v>
      </c>
      <c r="Q130" s="147">
        <f t="shared" si="40"/>
        <v>-1307456.95</v>
      </c>
      <c r="R130" s="148">
        <f t="shared" si="41"/>
        <v>-1</v>
      </c>
      <c r="S130" s="586"/>
      <c r="T130" s="375">
        <v>1768014.7</v>
      </c>
      <c r="U130" s="272">
        <f>SUM(U131:U137)</f>
        <v>0</v>
      </c>
      <c r="V130" s="147">
        <f t="shared" si="42"/>
        <v>-1768014.7</v>
      </c>
      <c r="W130" s="148">
        <f t="shared" si="43"/>
        <v>-1</v>
      </c>
      <c r="X130" s="586"/>
      <c r="Y130" s="1"/>
    </row>
    <row r="131" spans="1:25" ht="17.100000000000001" customHeight="1" x14ac:dyDescent="0.2">
      <c r="A131" s="278">
        <v>2512</v>
      </c>
      <c r="B131" s="159" t="s">
        <v>61</v>
      </c>
      <c r="C131" s="139">
        <v>1670974.83</v>
      </c>
      <c r="D131" s="370">
        <v>1755000.06</v>
      </c>
      <c r="E131" s="370">
        <v>503727.52</v>
      </c>
      <c r="F131" s="139"/>
      <c r="G131" s="140">
        <f t="shared" si="36"/>
        <v>-503727.52</v>
      </c>
      <c r="H131" s="141">
        <f t="shared" si="37"/>
        <v>-1</v>
      </c>
      <c r="I131" s="586"/>
      <c r="J131" s="370">
        <v>900658.57000000007</v>
      </c>
      <c r="K131" s="139"/>
      <c r="L131" s="140">
        <f t="shared" si="38"/>
        <v>-900658.57000000007</v>
      </c>
      <c r="M131" s="141">
        <f t="shared" si="39"/>
        <v>-1</v>
      </c>
      <c r="N131" s="586"/>
      <c r="O131" s="370">
        <v>1297793.3500000001</v>
      </c>
      <c r="P131" s="139"/>
      <c r="Q131" s="140">
        <f t="shared" si="40"/>
        <v>-1297793.3500000001</v>
      </c>
      <c r="R131" s="141">
        <f t="shared" si="41"/>
        <v>-1</v>
      </c>
      <c r="S131" s="586"/>
      <c r="T131" s="370">
        <v>1755000.06</v>
      </c>
      <c r="U131" s="139"/>
      <c r="V131" s="140">
        <f t="shared" si="42"/>
        <v>-1755000.06</v>
      </c>
      <c r="W131" s="141">
        <f t="shared" si="43"/>
        <v>-1</v>
      </c>
      <c r="X131" s="586"/>
    </row>
    <row r="132" spans="1:25" x14ac:dyDescent="0.2">
      <c r="A132" s="278">
        <v>2513</v>
      </c>
      <c r="B132" s="159" t="s">
        <v>346</v>
      </c>
      <c r="C132" s="139">
        <f>10326.72</f>
        <v>10326.719999999999</v>
      </c>
      <c r="D132" s="370">
        <v>10326.720000000001</v>
      </c>
      <c r="E132" s="370">
        <v>2494.6799999999998</v>
      </c>
      <c r="F132" s="139"/>
      <c r="G132" s="140">
        <f t="shared" ref="G132:G173" si="61">F132-E132</f>
        <v>-2494.6799999999998</v>
      </c>
      <c r="H132" s="141">
        <f t="shared" ref="H132:H173" si="62">IFERROR(G132/ABS(E132), "-")</f>
        <v>-1</v>
      </c>
      <c r="I132" s="586"/>
      <c r="J132" s="370">
        <v>5076.3600000000006</v>
      </c>
      <c r="K132" s="139"/>
      <c r="L132" s="140">
        <f t="shared" si="38"/>
        <v>-5076.3600000000006</v>
      </c>
      <c r="M132" s="141">
        <f t="shared" si="39"/>
        <v>-1</v>
      </c>
      <c r="N132" s="586"/>
      <c r="O132" s="370">
        <v>7658.0400000000018</v>
      </c>
      <c r="P132" s="139"/>
      <c r="Q132" s="140">
        <f t="shared" si="40"/>
        <v>-7658.0400000000018</v>
      </c>
      <c r="R132" s="141">
        <f t="shared" si="41"/>
        <v>-1</v>
      </c>
      <c r="S132" s="586"/>
      <c r="T132" s="370">
        <v>10326.720000000001</v>
      </c>
      <c r="U132" s="139"/>
      <c r="V132" s="140">
        <f t="shared" si="42"/>
        <v>-10326.720000000001</v>
      </c>
      <c r="W132" s="141">
        <f t="shared" si="43"/>
        <v>-1</v>
      </c>
      <c r="X132" s="586"/>
    </row>
    <row r="133" spans="1:25" ht="31.5" x14ac:dyDescent="0.2">
      <c r="A133" s="278">
        <v>2514</v>
      </c>
      <c r="B133" s="159" t="s">
        <v>62</v>
      </c>
      <c r="C133" s="139"/>
      <c r="D133" s="370">
        <v>0</v>
      </c>
      <c r="E133" s="370">
        <v>0</v>
      </c>
      <c r="F133" s="139"/>
      <c r="G133" s="140">
        <f t="shared" si="61"/>
        <v>0</v>
      </c>
      <c r="H133" s="141" t="str">
        <f t="shared" si="62"/>
        <v>-</v>
      </c>
      <c r="I133" s="586"/>
      <c r="J133" s="370">
        <v>0</v>
      </c>
      <c r="K133" s="139"/>
      <c r="L133" s="140">
        <f t="shared" si="38"/>
        <v>0</v>
      </c>
      <c r="M133" s="141" t="str">
        <f t="shared" si="39"/>
        <v>-</v>
      </c>
      <c r="N133" s="586"/>
      <c r="O133" s="370">
        <v>0</v>
      </c>
      <c r="P133" s="139"/>
      <c r="Q133" s="140">
        <f t="shared" si="40"/>
        <v>0</v>
      </c>
      <c r="R133" s="141" t="str">
        <f t="shared" si="41"/>
        <v>-</v>
      </c>
      <c r="S133" s="586"/>
      <c r="T133" s="370">
        <v>0</v>
      </c>
      <c r="U133" s="139"/>
      <c r="V133" s="140">
        <f t="shared" si="42"/>
        <v>0</v>
      </c>
      <c r="W133" s="141" t="str">
        <f t="shared" si="43"/>
        <v>-</v>
      </c>
      <c r="X133" s="586"/>
    </row>
    <row r="134" spans="1:25" x14ac:dyDescent="0.2">
      <c r="A134" s="278">
        <v>2515</v>
      </c>
      <c r="B134" s="159" t="s">
        <v>63</v>
      </c>
      <c r="C134" s="139"/>
      <c r="D134" s="370">
        <v>0</v>
      </c>
      <c r="E134" s="370">
        <v>0</v>
      </c>
      <c r="F134" s="139"/>
      <c r="G134" s="140">
        <f t="shared" si="61"/>
        <v>0</v>
      </c>
      <c r="H134" s="141" t="str">
        <f t="shared" si="62"/>
        <v>-</v>
      </c>
      <c r="I134" s="586"/>
      <c r="J134" s="370">
        <v>0</v>
      </c>
      <c r="K134" s="139"/>
      <c r="L134" s="140">
        <f t="shared" si="38"/>
        <v>0</v>
      </c>
      <c r="M134" s="141" t="str">
        <f t="shared" si="39"/>
        <v>-</v>
      </c>
      <c r="N134" s="586"/>
      <c r="O134" s="370">
        <v>0</v>
      </c>
      <c r="P134" s="139"/>
      <c r="Q134" s="140">
        <f t="shared" si="40"/>
        <v>0</v>
      </c>
      <c r="R134" s="141" t="str">
        <f t="shared" si="41"/>
        <v>-</v>
      </c>
      <c r="S134" s="586"/>
      <c r="T134" s="370">
        <v>0</v>
      </c>
      <c r="U134" s="139"/>
      <c r="V134" s="140">
        <f t="shared" si="42"/>
        <v>0</v>
      </c>
      <c r="W134" s="141" t="str">
        <f t="shared" si="43"/>
        <v>-</v>
      </c>
      <c r="X134" s="586"/>
    </row>
    <row r="135" spans="1:25" ht="47.25" x14ac:dyDescent="0.2">
      <c r="A135" s="278">
        <v>2516</v>
      </c>
      <c r="B135" s="159" t="s">
        <v>135</v>
      </c>
      <c r="C135" s="139"/>
      <c r="D135" s="370">
        <v>0</v>
      </c>
      <c r="E135" s="370">
        <v>0</v>
      </c>
      <c r="F135" s="139"/>
      <c r="G135" s="140">
        <f t="shared" si="61"/>
        <v>0</v>
      </c>
      <c r="H135" s="141" t="str">
        <f t="shared" si="62"/>
        <v>-</v>
      </c>
      <c r="I135" s="586"/>
      <c r="J135" s="370">
        <v>0</v>
      </c>
      <c r="K135" s="139"/>
      <c r="L135" s="140">
        <f t="shared" ref="L135:L173" si="63">K135-J135</f>
        <v>0</v>
      </c>
      <c r="M135" s="141" t="str">
        <f t="shared" ref="M135:M173" si="64">IFERROR(L135/ABS(J135), "-")</f>
        <v>-</v>
      </c>
      <c r="N135" s="586"/>
      <c r="O135" s="370">
        <v>0</v>
      </c>
      <c r="P135" s="139"/>
      <c r="Q135" s="140">
        <f t="shared" ref="Q135:Q173" si="65">P135-O135</f>
        <v>0</v>
      </c>
      <c r="R135" s="141" t="str">
        <f t="shared" ref="R135:R173" si="66">IFERROR(Q135/ABS(O135), "-")</f>
        <v>-</v>
      </c>
      <c r="S135" s="586"/>
      <c r="T135" s="370">
        <v>0</v>
      </c>
      <c r="U135" s="139"/>
      <c r="V135" s="140">
        <f t="shared" ref="V135:V173" si="67">U135-T135</f>
        <v>0</v>
      </c>
      <c r="W135" s="141" t="str">
        <f t="shared" ref="W135:W173" si="68">IFERROR(V135/ABS(T135), "-")</f>
        <v>-</v>
      </c>
      <c r="X135" s="586"/>
    </row>
    <row r="136" spans="1:25" ht="17.100000000000001" customHeight="1" x14ac:dyDescent="0.2">
      <c r="A136" s="289">
        <v>2518</v>
      </c>
      <c r="B136" s="166" t="s">
        <v>64</v>
      </c>
      <c r="C136" s="139">
        <v>2687.76</v>
      </c>
      <c r="D136" s="370">
        <v>2687.9199999999996</v>
      </c>
      <c r="E136" s="370">
        <v>669.96</v>
      </c>
      <c r="F136" s="139"/>
      <c r="G136" s="140">
        <f t="shared" si="61"/>
        <v>-669.96</v>
      </c>
      <c r="H136" s="141">
        <f t="shared" si="62"/>
        <v>-1</v>
      </c>
      <c r="I136" s="586"/>
      <c r="J136" s="370">
        <v>1335.24</v>
      </c>
      <c r="K136" s="139"/>
      <c r="L136" s="140">
        <f t="shared" si="63"/>
        <v>-1335.24</v>
      </c>
      <c r="M136" s="141">
        <f t="shared" si="64"/>
        <v>-1</v>
      </c>
      <c r="N136" s="586"/>
      <c r="O136" s="370">
        <v>2005.56</v>
      </c>
      <c r="P136" s="139"/>
      <c r="Q136" s="140">
        <f t="shared" si="65"/>
        <v>-2005.56</v>
      </c>
      <c r="R136" s="141">
        <f t="shared" si="66"/>
        <v>-1</v>
      </c>
      <c r="S136" s="586"/>
      <c r="T136" s="370">
        <v>2687.9199999999996</v>
      </c>
      <c r="U136" s="139"/>
      <c r="V136" s="140">
        <f t="shared" si="67"/>
        <v>-2687.9199999999996</v>
      </c>
      <c r="W136" s="141">
        <f t="shared" si="68"/>
        <v>-1</v>
      </c>
      <c r="X136" s="586"/>
    </row>
    <row r="137" spans="1:25" s="2" customFormat="1" ht="17.100000000000001" customHeight="1" x14ac:dyDescent="0.2">
      <c r="A137" s="278">
        <v>2519</v>
      </c>
      <c r="B137" s="159" t="s">
        <v>65</v>
      </c>
      <c r="C137" s="139">
        <f>33455</f>
        <v>33455</v>
      </c>
      <c r="D137" s="370">
        <v>0</v>
      </c>
      <c r="E137" s="370">
        <v>0</v>
      </c>
      <c r="F137" s="139"/>
      <c r="G137" s="140">
        <f t="shared" si="61"/>
        <v>0</v>
      </c>
      <c r="H137" s="141" t="str">
        <f t="shared" si="62"/>
        <v>-</v>
      </c>
      <c r="I137" s="586"/>
      <c r="J137" s="370">
        <v>0</v>
      </c>
      <c r="K137" s="139"/>
      <c r="L137" s="140">
        <f t="shared" si="63"/>
        <v>0</v>
      </c>
      <c r="M137" s="141" t="str">
        <f t="shared" si="64"/>
        <v>-</v>
      </c>
      <c r="N137" s="586"/>
      <c r="O137" s="370">
        <v>0</v>
      </c>
      <c r="P137" s="139"/>
      <c r="Q137" s="140">
        <f t="shared" si="65"/>
        <v>0</v>
      </c>
      <c r="R137" s="141" t="str">
        <f t="shared" si="66"/>
        <v>-</v>
      </c>
      <c r="S137" s="586"/>
      <c r="T137" s="370">
        <v>0</v>
      </c>
      <c r="U137" s="139"/>
      <c r="V137" s="140">
        <f t="shared" si="67"/>
        <v>0</v>
      </c>
      <c r="W137" s="141" t="str">
        <f t="shared" si="68"/>
        <v>-</v>
      </c>
      <c r="X137" s="586"/>
      <c r="Y137" s="1"/>
    </row>
    <row r="138" spans="1:25" ht="31.5" x14ac:dyDescent="0.2">
      <c r="A138" s="156">
        <v>2520</v>
      </c>
      <c r="B138" s="162" t="s">
        <v>347</v>
      </c>
      <c r="C138" s="146"/>
      <c r="D138" s="372">
        <v>0</v>
      </c>
      <c r="E138" s="372">
        <v>0</v>
      </c>
      <c r="F138" s="146"/>
      <c r="G138" s="147">
        <f t="shared" si="61"/>
        <v>0</v>
      </c>
      <c r="H138" s="148" t="str">
        <f t="shared" si="62"/>
        <v>-</v>
      </c>
      <c r="I138" s="168"/>
      <c r="J138" s="372">
        <v>0</v>
      </c>
      <c r="K138" s="146"/>
      <c r="L138" s="147">
        <f t="shared" si="63"/>
        <v>0</v>
      </c>
      <c r="M138" s="148" t="str">
        <f t="shared" si="64"/>
        <v>-</v>
      </c>
      <c r="N138" s="168"/>
      <c r="O138" s="372">
        <v>0</v>
      </c>
      <c r="P138" s="146"/>
      <c r="Q138" s="147">
        <f t="shared" si="65"/>
        <v>0</v>
      </c>
      <c r="R138" s="148" t="str">
        <f t="shared" si="66"/>
        <v>-</v>
      </c>
      <c r="S138" s="168"/>
      <c r="T138" s="372">
        <v>0</v>
      </c>
      <c r="U138" s="146"/>
      <c r="V138" s="147">
        <f t="shared" si="67"/>
        <v>0</v>
      </c>
      <c r="W138" s="148" t="str">
        <f t="shared" si="68"/>
        <v>-</v>
      </c>
      <c r="X138" s="168"/>
    </row>
    <row r="139" spans="1:25" ht="32.1" customHeight="1" x14ac:dyDescent="0.2">
      <c r="A139" s="123">
        <v>2800</v>
      </c>
      <c r="B139" s="178" t="s">
        <v>532</v>
      </c>
      <c r="C139" s="341"/>
      <c r="D139" s="377">
        <v>0</v>
      </c>
      <c r="E139" s="377">
        <v>0</v>
      </c>
      <c r="F139" s="341"/>
      <c r="G139" s="173"/>
      <c r="H139" s="174"/>
      <c r="I139" s="342"/>
      <c r="J139" s="377">
        <v>0</v>
      </c>
      <c r="K139" s="341"/>
      <c r="L139" s="173"/>
      <c r="M139" s="174"/>
      <c r="N139" s="342"/>
      <c r="O139" s="377">
        <v>0</v>
      </c>
      <c r="P139" s="341"/>
      <c r="Q139" s="173"/>
      <c r="R139" s="174"/>
      <c r="S139" s="342"/>
      <c r="T139" s="377">
        <v>0</v>
      </c>
      <c r="U139" s="341"/>
      <c r="V139" s="173"/>
      <c r="W139" s="174"/>
      <c r="X139" s="342"/>
    </row>
    <row r="140" spans="1:25" ht="17.100000000000001" customHeight="1" x14ac:dyDescent="0.2">
      <c r="A140" s="273">
        <v>4000</v>
      </c>
      <c r="B140" s="283" t="s">
        <v>66</v>
      </c>
      <c r="C140" s="274">
        <f>C141+C142+C143</f>
        <v>0</v>
      </c>
      <c r="D140" s="368">
        <v>0</v>
      </c>
      <c r="E140" s="368">
        <v>0</v>
      </c>
      <c r="F140" s="274">
        <f>F141+F142+F143</f>
        <v>0</v>
      </c>
      <c r="G140" s="275">
        <f t="shared" si="61"/>
        <v>0</v>
      </c>
      <c r="H140" s="276" t="str">
        <f t="shared" si="62"/>
        <v>-</v>
      </c>
      <c r="I140" s="277"/>
      <c r="J140" s="368">
        <v>0</v>
      </c>
      <c r="K140" s="274">
        <f>K141+K142+K143</f>
        <v>0</v>
      </c>
      <c r="L140" s="275">
        <f t="shared" si="63"/>
        <v>0</v>
      </c>
      <c r="M140" s="276" t="str">
        <f t="shared" si="64"/>
        <v>-</v>
      </c>
      <c r="N140" s="277"/>
      <c r="O140" s="368">
        <v>0</v>
      </c>
      <c r="P140" s="274">
        <f>P141+P142+P143</f>
        <v>0</v>
      </c>
      <c r="Q140" s="275">
        <f t="shared" si="65"/>
        <v>0</v>
      </c>
      <c r="R140" s="276" t="str">
        <f t="shared" si="66"/>
        <v>-</v>
      </c>
      <c r="S140" s="277"/>
      <c r="T140" s="368">
        <v>0</v>
      </c>
      <c r="U140" s="274">
        <f>U141+U142+U143</f>
        <v>0</v>
      </c>
      <c r="V140" s="275">
        <f t="shared" si="67"/>
        <v>0</v>
      </c>
      <c r="W140" s="276" t="str">
        <f t="shared" si="68"/>
        <v>-</v>
      </c>
      <c r="X140" s="277"/>
    </row>
    <row r="141" spans="1:25" s="281" customFormat="1" ht="31.5" x14ac:dyDescent="0.2">
      <c r="A141" s="290">
        <v>4100</v>
      </c>
      <c r="B141" s="162" t="s">
        <v>67</v>
      </c>
      <c r="C141" s="272"/>
      <c r="D141" s="375">
        <v>0</v>
      </c>
      <c r="E141" s="375">
        <v>0</v>
      </c>
      <c r="F141" s="272"/>
      <c r="G141" s="147">
        <f t="shared" si="61"/>
        <v>0</v>
      </c>
      <c r="H141" s="148" t="str">
        <f t="shared" si="62"/>
        <v>-</v>
      </c>
      <c r="I141" s="291"/>
      <c r="J141" s="375">
        <v>0</v>
      </c>
      <c r="K141" s="272"/>
      <c r="L141" s="147"/>
      <c r="M141" s="148" t="str">
        <f t="shared" si="64"/>
        <v>-</v>
      </c>
      <c r="N141" s="291"/>
      <c r="O141" s="375">
        <v>0</v>
      </c>
      <c r="P141" s="272"/>
      <c r="Q141" s="147">
        <f t="shared" si="65"/>
        <v>0</v>
      </c>
      <c r="R141" s="148" t="str">
        <f t="shared" si="66"/>
        <v>-</v>
      </c>
      <c r="S141" s="291"/>
      <c r="T141" s="375">
        <v>0</v>
      </c>
      <c r="U141" s="272"/>
      <c r="V141" s="147">
        <f t="shared" si="67"/>
        <v>0</v>
      </c>
      <c r="W141" s="148" t="str">
        <f t="shared" si="68"/>
        <v>-</v>
      </c>
      <c r="X141" s="291"/>
      <c r="Y141" s="1"/>
    </row>
    <row r="142" spans="1:25" s="281" customFormat="1" ht="17.100000000000001" customHeight="1" x14ac:dyDescent="0.2">
      <c r="A142" s="290">
        <v>4200</v>
      </c>
      <c r="B142" s="165" t="s">
        <v>68</v>
      </c>
      <c r="C142" s="282"/>
      <c r="D142" s="375">
        <v>0</v>
      </c>
      <c r="E142" s="375">
        <v>0</v>
      </c>
      <c r="F142" s="272"/>
      <c r="G142" s="147">
        <f t="shared" si="61"/>
        <v>0</v>
      </c>
      <c r="H142" s="148" t="str">
        <f t="shared" si="62"/>
        <v>-</v>
      </c>
      <c r="I142" s="291"/>
      <c r="J142" s="375">
        <v>0</v>
      </c>
      <c r="K142" s="272"/>
      <c r="L142" s="147">
        <f t="shared" si="63"/>
        <v>0</v>
      </c>
      <c r="M142" s="148" t="str">
        <f t="shared" si="64"/>
        <v>-</v>
      </c>
      <c r="N142" s="291"/>
      <c r="O142" s="375">
        <v>0</v>
      </c>
      <c r="P142" s="272"/>
      <c r="Q142" s="147">
        <f t="shared" si="65"/>
        <v>0</v>
      </c>
      <c r="R142" s="148" t="str">
        <f t="shared" si="66"/>
        <v>-</v>
      </c>
      <c r="S142" s="291"/>
      <c r="T142" s="375">
        <v>0</v>
      </c>
      <c r="U142" s="272"/>
      <c r="V142" s="147">
        <f t="shared" si="67"/>
        <v>0</v>
      </c>
      <c r="W142" s="148" t="str">
        <f t="shared" si="68"/>
        <v>-</v>
      </c>
      <c r="X142" s="291"/>
      <c r="Y142" s="1"/>
    </row>
    <row r="143" spans="1:25" s="281" customFormat="1" ht="17.100000000000001" customHeight="1" x14ac:dyDescent="0.2">
      <c r="A143" s="156">
        <v>4300</v>
      </c>
      <c r="B143" s="162" t="s">
        <v>69</v>
      </c>
      <c r="C143" s="272"/>
      <c r="D143" s="375">
        <v>0</v>
      </c>
      <c r="E143" s="375">
        <v>0</v>
      </c>
      <c r="F143" s="272"/>
      <c r="G143" s="147">
        <f t="shared" si="61"/>
        <v>0</v>
      </c>
      <c r="H143" s="148" t="str">
        <f t="shared" si="62"/>
        <v>-</v>
      </c>
      <c r="I143" s="291"/>
      <c r="J143" s="375">
        <v>0</v>
      </c>
      <c r="K143" s="272"/>
      <c r="L143" s="147">
        <f t="shared" si="63"/>
        <v>0</v>
      </c>
      <c r="M143" s="148" t="str">
        <f t="shared" si="64"/>
        <v>-</v>
      </c>
      <c r="N143" s="291"/>
      <c r="O143" s="375">
        <v>0</v>
      </c>
      <c r="P143" s="272"/>
      <c r="Q143" s="147">
        <f t="shared" si="65"/>
        <v>0</v>
      </c>
      <c r="R143" s="148" t="str">
        <f t="shared" si="66"/>
        <v>-</v>
      </c>
      <c r="S143" s="291"/>
      <c r="T143" s="375">
        <v>0</v>
      </c>
      <c r="U143" s="272"/>
      <c r="V143" s="147">
        <f t="shared" si="67"/>
        <v>0</v>
      </c>
      <c r="W143" s="148" t="str">
        <f t="shared" si="68"/>
        <v>-</v>
      </c>
      <c r="X143" s="291"/>
      <c r="Y143" s="1"/>
    </row>
    <row r="144" spans="1:25" ht="17.100000000000001" customHeight="1" x14ac:dyDescent="0.2">
      <c r="A144" s="301" t="s">
        <v>70</v>
      </c>
      <c r="B144" s="302" t="s">
        <v>71</v>
      </c>
      <c r="C144" s="303">
        <f>C32</f>
        <v>26633096.950000003</v>
      </c>
      <c r="D144" s="367">
        <v>28104961.004913203</v>
      </c>
      <c r="E144" s="367">
        <v>7199622.2100000009</v>
      </c>
      <c r="F144" s="303">
        <f>F32</f>
        <v>0</v>
      </c>
      <c r="G144" s="304">
        <f t="shared" si="61"/>
        <v>-7199622.2100000009</v>
      </c>
      <c r="H144" s="305">
        <f t="shared" si="62"/>
        <v>-1</v>
      </c>
      <c r="I144" s="306"/>
      <c r="J144" s="367">
        <v>14054780.338739201</v>
      </c>
      <c r="K144" s="303">
        <f>K32</f>
        <v>0</v>
      </c>
      <c r="L144" s="304">
        <f t="shared" si="63"/>
        <v>-14054780.338739201</v>
      </c>
      <c r="M144" s="305">
        <f t="shared" si="64"/>
        <v>-1</v>
      </c>
      <c r="N144" s="306"/>
      <c r="O144" s="367">
        <v>20751698.834913202</v>
      </c>
      <c r="P144" s="303">
        <f>P32</f>
        <v>0</v>
      </c>
      <c r="Q144" s="304">
        <f t="shared" si="65"/>
        <v>-20751698.834913202</v>
      </c>
      <c r="R144" s="305">
        <f t="shared" si="66"/>
        <v>-1</v>
      </c>
      <c r="S144" s="306"/>
      <c r="T144" s="367">
        <v>28104961.004913203</v>
      </c>
      <c r="U144" s="303">
        <f>U32</f>
        <v>0</v>
      </c>
      <c r="V144" s="304">
        <f t="shared" si="67"/>
        <v>-28104961.004913203</v>
      </c>
      <c r="W144" s="305">
        <f t="shared" si="68"/>
        <v>-1</v>
      </c>
      <c r="X144" s="306"/>
    </row>
    <row r="145" spans="1:25" ht="31.5" x14ac:dyDescent="0.2">
      <c r="A145" s="301" t="s">
        <v>72</v>
      </c>
      <c r="B145" s="302" t="s">
        <v>292</v>
      </c>
      <c r="C145" s="303">
        <f>C3-C144</f>
        <v>184334.04999999702</v>
      </c>
      <c r="D145" s="367">
        <v>1047289.6050867992</v>
      </c>
      <c r="E145" s="367">
        <v>-509956.52000000048</v>
      </c>
      <c r="F145" s="303">
        <f>F3-F144</f>
        <v>0</v>
      </c>
      <c r="G145" s="304">
        <f t="shared" si="61"/>
        <v>509956.52000000048</v>
      </c>
      <c r="H145" s="305">
        <f t="shared" si="62"/>
        <v>1</v>
      </c>
      <c r="I145" s="306"/>
      <c r="J145" s="367">
        <v>-590601.29873920092</v>
      </c>
      <c r="K145" s="303">
        <f>K3-K144</f>
        <v>0</v>
      </c>
      <c r="L145" s="304">
        <f t="shared" si="63"/>
        <v>590601.29873920092</v>
      </c>
      <c r="M145" s="305">
        <f t="shared" si="64"/>
        <v>1</v>
      </c>
      <c r="N145" s="306"/>
      <c r="O145" s="367">
        <v>58260.315086799208</v>
      </c>
      <c r="P145" s="303">
        <f>P3-P144</f>
        <v>0</v>
      </c>
      <c r="Q145" s="304">
        <f t="shared" si="65"/>
        <v>-58260.315086799208</v>
      </c>
      <c r="R145" s="305">
        <f t="shared" si="66"/>
        <v>-1</v>
      </c>
      <c r="S145" s="306"/>
      <c r="T145" s="367">
        <v>1047289.6050867992</v>
      </c>
      <c r="U145" s="303">
        <f>U3-U144</f>
        <v>0</v>
      </c>
      <c r="V145" s="304">
        <f t="shared" si="67"/>
        <v>-1047289.6050867992</v>
      </c>
      <c r="W145" s="305">
        <f t="shared" si="68"/>
        <v>-1</v>
      </c>
      <c r="X145" s="306"/>
    </row>
    <row r="146" spans="1:25" s="2" customFormat="1" ht="17.100000000000001" customHeight="1" x14ac:dyDescent="0.2">
      <c r="A146" s="185">
        <v>5000</v>
      </c>
      <c r="B146" s="176" t="s">
        <v>507</v>
      </c>
      <c r="C146" s="182">
        <f t="shared" ref="C146" si="69">C147+C148</f>
        <v>941786.71000000008</v>
      </c>
      <c r="D146" s="378">
        <v>949844.2</v>
      </c>
      <c r="E146" s="378">
        <v>239111.35000000003</v>
      </c>
      <c r="F146" s="182">
        <f>F147+F148</f>
        <v>0</v>
      </c>
      <c r="G146" s="173">
        <f t="shared" si="61"/>
        <v>-239111.35000000003</v>
      </c>
      <c r="H146" s="174">
        <f t="shared" si="62"/>
        <v>-1</v>
      </c>
      <c r="I146" s="183"/>
      <c r="J146" s="378">
        <v>474951.87000000005</v>
      </c>
      <c r="K146" s="182">
        <f>K147+K148</f>
        <v>0</v>
      </c>
      <c r="L146" s="173">
        <f t="shared" si="63"/>
        <v>-474951.87000000005</v>
      </c>
      <c r="M146" s="174">
        <f t="shared" si="64"/>
        <v>-1</v>
      </c>
      <c r="N146" s="183"/>
      <c r="O146" s="378">
        <v>710009.73</v>
      </c>
      <c r="P146" s="182">
        <f>P147+P148</f>
        <v>0</v>
      </c>
      <c r="Q146" s="173">
        <f t="shared" si="65"/>
        <v>-710009.73</v>
      </c>
      <c r="R146" s="174">
        <f t="shared" si="66"/>
        <v>-1</v>
      </c>
      <c r="S146" s="183"/>
      <c r="T146" s="378">
        <v>949844.2</v>
      </c>
      <c r="U146" s="182">
        <f>U147+U148</f>
        <v>0</v>
      </c>
      <c r="V146" s="173">
        <f t="shared" si="67"/>
        <v>-949844.2</v>
      </c>
      <c r="W146" s="174">
        <f t="shared" si="68"/>
        <v>-1</v>
      </c>
      <c r="X146" s="183"/>
      <c r="Y146" s="1"/>
    </row>
    <row r="147" spans="1:25" ht="17.100000000000001" customHeight="1" x14ac:dyDescent="0.2">
      <c r="A147" s="15">
        <v>5100</v>
      </c>
      <c r="B147" s="145" t="s">
        <v>348</v>
      </c>
      <c r="C147" s="139">
        <v>23177.06</v>
      </c>
      <c r="D147" s="370">
        <v>31234.92</v>
      </c>
      <c r="E147" s="370">
        <v>7808.73</v>
      </c>
      <c r="F147" s="139"/>
      <c r="G147" s="140">
        <f t="shared" si="61"/>
        <v>-7808.73</v>
      </c>
      <c r="H147" s="141">
        <f t="shared" si="62"/>
        <v>-1</v>
      </c>
      <c r="I147" s="164"/>
      <c r="J147" s="370">
        <v>15617.46</v>
      </c>
      <c r="K147" s="139"/>
      <c r="L147" s="140">
        <f t="shared" si="63"/>
        <v>-15617.46</v>
      </c>
      <c r="M147" s="141">
        <f t="shared" si="64"/>
        <v>-1</v>
      </c>
      <c r="N147" s="164"/>
      <c r="O147" s="370">
        <v>23426.19</v>
      </c>
      <c r="P147" s="139"/>
      <c r="Q147" s="140">
        <f t="shared" si="65"/>
        <v>-23426.19</v>
      </c>
      <c r="R147" s="141">
        <f t="shared" si="66"/>
        <v>-1</v>
      </c>
      <c r="S147" s="164"/>
      <c r="T147" s="370">
        <v>31234.92</v>
      </c>
      <c r="U147" s="139"/>
      <c r="V147" s="140">
        <f t="shared" si="67"/>
        <v>-31234.92</v>
      </c>
      <c r="W147" s="141">
        <f t="shared" si="68"/>
        <v>-1</v>
      </c>
      <c r="X147" s="164"/>
    </row>
    <row r="148" spans="1:25" s="281" customFormat="1" ht="17.100000000000001" customHeight="1" x14ac:dyDescent="0.2">
      <c r="A148" s="292">
        <v>5200</v>
      </c>
      <c r="B148" s="145" t="s">
        <v>73</v>
      </c>
      <c r="C148" s="282">
        <v>918609.65</v>
      </c>
      <c r="D148" s="375">
        <v>918609.28</v>
      </c>
      <c r="E148" s="375">
        <v>231302.62</v>
      </c>
      <c r="F148" s="282"/>
      <c r="G148" s="147">
        <f t="shared" si="61"/>
        <v>-231302.62</v>
      </c>
      <c r="H148" s="148">
        <f t="shared" si="62"/>
        <v>-1</v>
      </c>
      <c r="I148" s="587"/>
      <c r="J148" s="375">
        <v>459334.41</v>
      </c>
      <c r="K148" s="282"/>
      <c r="L148" s="147">
        <f t="shared" si="63"/>
        <v>-459334.41</v>
      </c>
      <c r="M148" s="148">
        <f t="shared" si="64"/>
        <v>-1</v>
      </c>
      <c r="N148" s="587"/>
      <c r="O148" s="375">
        <v>686583.54</v>
      </c>
      <c r="P148" s="282"/>
      <c r="Q148" s="147">
        <f t="shared" si="65"/>
        <v>-686583.54</v>
      </c>
      <c r="R148" s="148">
        <f t="shared" si="66"/>
        <v>-1</v>
      </c>
      <c r="S148" s="587"/>
      <c r="T148" s="375">
        <v>918609.28</v>
      </c>
      <c r="U148" s="282"/>
      <c r="V148" s="147">
        <f t="shared" si="67"/>
        <v>-918609.28</v>
      </c>
      <c r="W148" s="148">
        <f t="shared" si="68"/>
        <v>-1</v>
      </c>
      <c r="X148" s="587"/>
      <c r="Y148" s="1"/>
    </row>
    <row r="149" spans="1:25" ht="31.5" x14ac:dyDescent="0.2">
      <c r="A149" s="293">
        <v>5210</v>
      </c>
      <c r="B149" s="76" t="s">
        <v>74</v>
      </c>
      <c r="C149" s="139"/>
      <c r="D149" s="370">
        <v>0</v>
      </c>
      <c r="E149" s="370">
        <v>0</v>
      </c>
      <c r="F149" s="139"/>
      <c r="G149" s="140">
        <f t="shared" si="61"/>
        <v>0</v>
      </c>
      <c r="H149" s="141" t="str">
        <f t="shared" si="62"/>
        <v>-</v>
      </c>
      <c r="I149" s="588"/>
      <c r="J149" s="370">
        <v>0</v>
      </c>
      <c r="K149" s="139"/>
      <c r="L149" s="140">
        <f t="shared" si="63"/>
        <v>0</v>
      </c>
      <c r="M149" s="141" t="str">
        <f t="shared" si="64"/>
        <v>-</v>
      </c>
      <c r="N149" s="588"/>
      <c r="O149" s="370">
        <v>0</v>
      </c>
      <c r="P149" s="139"/>
      <c r="Q149" s="140">
        <f t="shared" si="65"/>
        <v>0</v>
      </c>
      <c r="R149" s="141" t="str">
        <f t="shared" si="66"/>
        <v>-</v>
      </c>
      <c r="S149" s="588"/>
      <c r="T149" s="370">
        <v>0</v>
      </c>
      <c r="U149" s="139"/>
      <c r="V149" s="140">
        <f t="shared" si="67"/>
        <v>0</v>
      </c>
      <c r="W149" s="141" t="str">
        <f t="shared" si="68"/>
        <v>-</v>
      </c>
      <c r="X149" s="588"/>
    </row>
    <row r="150" spans="1:25" x14ac:dyDescent="0.2">
      <c r="A150" s="293">
        <v>5220</v>
      </c>
      <c r="B150" s="76" t="s">
        <v>75</v>
      </c>
      <c r="C150" s="139"/>
      <c r="D150" s="370">
        <v>0</v>
      </c>
      <c r="E150" s="370">
        <v>0</v>
      </c>
      <c r="F150" s="139"/>
      <c r="G150" s="140">
        <f t="shared" si="61"/>
        <v>0</v>
      </c>
      <c r="H150" s="141" t="str">
        <f t="shared" si="62"/>
        <v>-</v>
      </c>
      <c r="I150" s="588"/>
      <c r="J150" s="370">
        <v>0</v>
      </c>
      <c r="K150" s="139"/>
      <c r="L150" s="140">
        <f t="shared" si="63"/>
        <v>0</v>
      </c>
      <c r="M150" s="141" t="str">
        <f t="shared" si="64"/>
        <v>-</v>
      </c>
      <c r="N150" s="588"/>
      <c r="O150" s="370">
        <v>0</v>
      </c>
      <c r="P150" s="139"/>
      <c r="Q150" s="140">
        <f t="shared" si="65"/>
        <v>0</v>
      </c>
      <c r="R150" s="141" t="str">
        <f t="shared" si="66"/>
        <v>-</v>
      </c>
      <c r="S150" s="588"/>
      <c r="T150" s="370">
        <v>0</v>
      </c>
      <c r="U150" s="139"/>
      <c r="V150" s="140">
        <f t="shared" si="67"/>
        <v>0</v>
      </c>
      <c r="W150" s="141" t="str">
        <f t="shared" si="68"/>
        <v>-</v>
      </c>
      <c r="X150" s="588"/>
    </row>
    <row r="151" spans="1:25" ht="31.5" x14ac:dyDescent="0.2">
      <c r="A151" s="293">
        <v>5230</v>
      </c>
      <c r="B151" s="76" t="s">
        <v>76</v>
      </c>
      <c r="C151" s="139"/>
      <c r="D151" s="370">
        <v>0</v>
      </c>
      <c r="E151" s="370">
        <v>0</v>
      </c>
      <c r="F151" s="139"/>
      <c r="G151" s="140">
        <f t="shared" si="61"/>
        <v>0</v>
      </c>
      <c r="H151" s="141" t="str">
        <f t="shared" si="62"/>
        <v>-</v>
      </c>
      <c r="I151" s="588"/>
      <c r="J151" s="370">
        <v>0</v>
      </c>
      <c r="K151" s="139"/>
      <c r="L151" s="140">
        <f t="shared" si="63"/>
        <v>0</v>
      </c>
      <c r="M151" s="141" t="str">
        <f t="shared" si="64"/>
        <v>-</v>
      </c>
      <c r="N151" s="588"/>
      <c r="O151" s="370">
        <v>0</v>
      </c>
      <c r="P151" s="139"/>
      <c r="Q151" s="140">
        <f t="shared" si="65"/>
        <v>0</v>
      </c>
      <c r="R151" s="141" t="str">
        <f t="shared" si="66"/>
        <v>-</v>
      </c>
      <c r="S151" s="588"/>
      <c r="T151" s="370">
        <v>0</v>
      </c>
      <c r="U151" s="139"/>
      <c r="V151" s="140">
        <f t="shared" si="67"/>
        <v>0</v>
      </c>
      <c r="W151" s="141" t="str">
        <f t="shared" si="68"/>
        <v>-</v>
      </c>
      <c r="X151" s="588"/>
    </row>
    <row r="152" spans="1:25" ht="47.25" x14ac:dyDescent="0.2">
      <c r="A152" s="293">
        <v>5240</v>
      </c>
      <c r="B152" s="76" t="s">
        <v>296</v>
      </c>
      <c r="C152" s="139"/>
      <c r="D152" s="370">
        <v>0</v>
      </c>
      <c r="E152" s="370">
        <v>0</v>
      </c>
      <c r="F152" s="139"/>
      <c r="G152" s="140">
        <f t="shared" si="61"/>
        <v>0</v>
      </c>
      <c r="H152" s="141" t="str">
        <f t="shared" si="62"/>
        <v>-</v>
      </c>
      <c r="I152" s="589"/>
      <c r="J152" s="370">
        <v>0</v>
      </c>
      <c r="K152" s="139"/>
      <c r="L152" s="140">
        <f t="shared" si="63"/>
        <v>0</v>
      </c>
      <c r="M152" s="141" t="str">
        <f t="shared" si="64"/>
        <v>-</v>
      </c>
      <c r="N152" s="589"/>
      <c r="O152" s="370">
        <v>0</v>
      </c>
      <c r="P152" s="139"/>
      <c r="Q152" s="140">
        <f t="shared" si="65"/>
        <v>0</v>
      </c>
      <c r="R152" s="141" t="str">
        <f t="shared" si="66"/>
        <v>-</v>
      </c>
      <c r="S152" s="589"/>
      <c r="T152" s="370">
        <v>0</v>
      </c>
      <c r="U152" s="139"/>
      <c r="V152" s="140">
        <f t="shared" si="67"/>
        <v>0</v>
      </c>
      <c r="W152" s="141" t="str">
        <f t="shared" si="68"/>
        <v>-</v>
      </c>
      <c r="X152" s="589"/>
    </row>
    <row r="153" spans="1:25" ht="47.25" x14ac:dyDescent="0.2">
      <c r="A153" s="301" t="s">
        <v>77</v>
      </c>
      <c r="B153" s="302" t="s">
        <v>293</v>
      </c>
      <c r="C153" s="303">
        <f t="shared" ref="C153" si="70">C145-C146</f>
        <v>-757452.66000000306</v>
      </c>
      <c r="D153" s="367">
        <v>97445.405086799234</v>
      </c>
      <c r="E153" s="367">
        <v>-749067.87000000058</v>
      </c>
      <c r="F153" s="303">
        <f>F145-F146</f>
        <v>0</v>
      </c>
      <c r="G153" s="304">
        <f t="shared" si="61"/>
        <v>749067.87000000058</v>
      </c>
      <c r="H153" s="418">
        <f t="shared" si="62"/>
        <v>1</v>
      </c>
      <c r="I153" s="306"/>
      <c r="J153" s="367">
        <v>-1065553.168739201</v>
      </c>
      <c r="K153" s="303">
        <f>K145-K146</f>
        <v>0</v>
      </c>
      <c r="L153" s="304">
        <f t="shared" si="63"/>
        <v>1065553.168739201</v>
      </c>
      <c r="M153" s="305">
        <f t="shared" si="64"/>
        <v>1</v>
      </c>
      <c r="N153" s="306"/>
      <c r="O153" s="367">
        <v>-651749.41491320077</v>
      </c>
      <c r="P153" s="303">
        <f>P145-P146</f>
        <v>0</v>
      </c>
      <c r="Q153" s="304">
        <f t="shared" si="65"/>
        <v>651749.41491320077</v>
      </c>
      <c r="R153" s="305">
        <f t="shared" si="66"/>
        <v>1</v>
      </c>
      <c r="S153" s="306"/>
      <c r="T153" s="367">
        <v>97445.405086799234</v>
      </c>
      <c r="U153" s="303">
        <f>U145-U146</f>
        <v>0</v>
      </c>
      <c r="V153" s="304">
        <f t="shared" si="67"/>
        <v>-97445.405086799234</v>
      </c>
      <c r="W153" s="305">
        <f t="shared" si="68"/>
        <v>-1</v>
      </c>
      <c r="X153" s="306"/>
    </row>
    <row r="154" spans="1:25" ht="17.100000000000001" customHeight="1" x14ac:dyDescent="0.2">
      <c r="A154" s="186" t="s">
        <v>136</v>
      </c>
      <c r="B154" s="176" t="s">
        <v>78</v>
      </c>
      <c r="C154" s="172">
        <f t="shared" ref="C154" si="71">SUM(C155:C162)</f>
        <v>159099.59</v>
      </c>
      <c r="D154" s="369">
        <v>105337.41</v>
      </c>
      <c r="E154" s="369">
        <v>801.2700000000001</v>
      </c>
      <c r="F154" s="172">
        <f t="shared" ref="F154" si="72">SUM(F155:F162)</f>
        <v>0</v>
      </c>
      <c r="G154" s="173">
        <f t="shared" si="61"/>
        <v>-801.2700000000001</v>
      </c>
      <c r="H154" s="419">
        <f t="shared" si="62"/>
        <v>-1</v>
      </c>
      <c r="I154" s="587"/>
      <c r="J154" s="369">
        <v>1473.11</v>
      </c>
      <c r="K154" s="172">
        <f t="shared" ref="K154" si="73">SUM(K155:K162)</f>
        <v>0</v>
      </c>
      <c r="L154" s="173">
        <f t="shared" si="63"/>
        <v>-1473.11</v>
      </c>
      <c r="M154" s="174">
        <f t="shared" si="64"/>
        <v>-1</v>
      </c>
      <c r="N154" s="587"/>
      <c r="O154" s="369">
        <v>1496.68</v>
      </c>
      <c r="P154" s="172">
        <f t="shared" ref="P154" si="74">SUM(P155:P162)</f>
        <v>0</v>
      </c>
      <c r="Q154" s="173">
        <f t="shared" si="65"/>
        <v>-1496.68</v>
      </c>
      <c r="R154" s="174">
        <f t="shared" si="66"/>
        <v>-1</v>
      </c>
      <c r="S154" s="587"/>
      <c r="T154" s="369">
        <v>105337.41</v>
      </c>
      <c r="U154" s="172">
        <f t="shared" ref="U154" si="75">SUM(U155:U162)</f>
        <v>0</v>
      </c>
      <c r="V154" s="173">
        <f t="shared" si="67"/>
        <v>-105337.41</v>
      </c>
      <c r="W154" s="174">
        <f t="shared" si="68"/>
        <v>-1</v>
      </c>
      <c r="X154" s="587"/>
    </row>
    <row r="155" spans="1:25" ht="17.100000000000001" customHeight="1" x14ac:dyDescent="0.2">
      <c r="A155" s="169" t="s">
        <v>137</v>
      </c>
      <c r="B155" s="76" t="s">
        <v>79</v>
      </c>
      <c r="C155" s="139">
        <v>12.45</v>
      </c>
      <c r="D155" s="370">
        <v>12.48</v>
      </c>
      <c r="E155" s="370">
        <v>2.0499999999999998</v>
      </c>
      <c r="F155" s="139"/>
      <c r="G155" s="140">
        <f t="shared" si="61"/>
        <v>-2.0499999999999998</v>
      </c>
      <c r="H155" s="141">
        <f t="shared" si="62"/>
        <v>-1</v>
      </c>
      <c r="I155" s="588"/>
      <c r="J155" s="371">
        <v>4.6099999999999994</v>
      </c>
      <c r="K155" s="139"/>
      <c r="L155" s="160">
        <f t="shared" si="63"/>
        <v>-4.6099999999999994</v>
      </c>
      <c r="M155" s="161">
        <f t="shared" si="64"/>
        <v>-1</v>
      </c>
      <c r="N155" s="588"/>
      <c r="O155" s="370">
        <v>8.5399999999999991</v>
      </c>
      <c r="P155" s="139"/>
      <c r="Q155" s="140">
        <f t="shared" si="65"/>
        <v>-8.5399999999999991</v>
      </c>
      <c r="R155" s="141">
        <f t="shared" si="66"/>
        <v>-1</v>
      </c>
      <c r="S155" s="588"/>
      <c r="T155" s="370">
        <v>12.48</v>
      </c>
      <c r="U155" s="139"/>
      <c r="V155" s="140">
        <f t="shared" si="67"/>
        <v>-12.48</v>
      </c>
      <c r="W155" s="141">
        <f t="shared" si="68"/>
        <v>-1</v>
      </c>
      <c r="X155" s="588"/>
    </row>
    <row r="156" spans="1:25" ht="17.100000000000001" customHeight="1" x14ac:dyDescent="0.2">
      <c r="A156" s="169" t="s">
        <v>138</v>
      </c>
      <c r="B156" s="76" t="s">
        <v>80</v>
      </c>
      <c r="C156" s="139">
        <v>67.06</v>
      </c>
      <c r="D156" s="370">
        <v>81.87</v>
      </c>
      <c r="E156" s="370">
        <v>10.790000000000001</v>
      </c>
      <c r="F156" s="139"/>
      <c r="G156" s="140">
        <f t="shared" si="61"/>
        <v>-10.790000000000001</v>
      </c>
      <c r="H156" s="141">
        <f t="shared" si="62"/>
        <v>-1</v>
      </c>
      <c r="I156" s="588"/>
      <c r="J156" s="370">
        <v>25.82</v>
      </c>
      <c r="K156" s="139"/>
      <c r="L156" s="140">
        <f t="shared" si="63"/>
        <v>-25.82</v>
      </c>
      <c r="M156" s="141">
        <f t="shared" si="64"/>
        <v>-1</v>
      </c>
      <c r="N156" s="588"/>
      <c r="O156" s="371">
        <v>44.96</v>
      </c>
      <c r="P156" s="139"/>
      <c r="Q156" s="140">
        <f t="shared" si="65"/>
        <v>-44.96</v>
      </c>
      <c r="R156" s="141">
        <f t="shared" si="66"/>
        <v>-1</v>
      </c>
      <c r="S156" s="588"/>
      <c r="T156" s="370">
        <v>81.87</v>
      </c>
      <c r="U156" s="139"/>
      <c r="V156" s="140">
        <f t="shared" si="67"/>
        <v>-81.87</v>
      </c>
      <c r="W156" s="141">
        <f t="shared" si="68"/>
        <v>-1</v>
      </c>
      <c r="X156" s="588"/>
    </row>
    <row r="157" spans="1:25" ht="31.5" x14ac:dyDescent="0.2">
      <c r="A157" s="169" t="s">
        <v>139</v>
      </c>
      <c r="B157" s="76" t="s">
        <v>294</v>
      </c>
      <c r="C157" s="139"/>
      <c r="D157" s="370">
        <v>0</v>
      </c>
      <c r="E157" s="370">
        <v>0</v>
      </c>
      <c r="F157" s="139"/>
      <c r="G157" s="140">
        <f t="shared" si="61"/>
        <v>0</v>
      </c>
      <c r="H157" s="141" t="str">
        <f t="shared" si="62"/>
        <v>-</v>
      </c>
      <c r="I157" s="588"/>
      <c r="J157" s="370">
        <v>0</v>
      </c>
      <c r="K157" s="139"/>
      <c r="L157" s="140">
        <f t="shared" si="63"/>
        <v>0</v>
      </c>
      <c r="M157" s="141" t="str">
        <f t="shared" si="64"/>
        <v>-</v>
      </c>
      <c r="N157" s="588"/>
      <c r="O157" s="370">
        <v>0</v>
      </c>
      <c r="P157" s="139"/>
      <c r="Q157" s="140">
        <f t="shared" si="65"/>
        <v>0</v>
      </c>
      <c r="R157" s="141" t="str">
        <f t="shared" si="66"/>
        <v>-</v>
      </c>
      <c r="S157" s="588"/>
      <c r="T157" s="370">
        <v>0</v>
      </c>
      <c r="U157" s="139"/>
      <c r="V157" s="140">
        <f t="shared" si="67"/>
        <v>0</v>
      </c>
      <c r="W157" s="141" t="str">
        <f t="shared" si="68"/>
        <v>-</v>
      </c>
      <c r="X157" s="588"/>
    </row>
    <row r="158" spans="1:25" x14ac:dyDescent="0.2">
      <c r="A158" s="169" t="s">
        <v>140</v>
      </c>
      <c r="B158" s="76" t="s">
        <v>81</v>
      </c>
      <c r="C158" s="139"/>
      <c r="D158" s="370">
        <v>0</v>
      </c>
      <c r="E158" s="370">
        <v>0</v>
      </c>
      <c r="F158" s="139"/>
      <c r="G158" s="140">
        <f t="shared" si="61"/>
        <v>0</v>
      </c>
      <c r="H158" s="141" t="str">
        <f t="shared" si="62"/>
        <v>-</v>
      </c>
      <c r="I158" s="588"/>
      <c r="J158" s="370">
        <v>0</v>
      </c>
      <c r="K158" s="139"/>
      <c r="L158" s="140">
        <f t="shared" si="63"/>
        <v>0</v>
      </c>
      <c r="M158" s="141" t="str">
        <f t="shared" si="64"/>
        <v>-</v>
      </c>
      <c r="N158" s="588"/>
      <c r="O158" s="370">
        <v>0</v>
      </c>
      <c r="P158" s="139"/>
      <c r="Q158" s="140">
        <f t="shared" si="65"/>
        <v>0</v>
      </c>
      <c r="R158" s="141" t="str">
        <f t="shared" si="66"/>
        <v>-</v>
      </c>
      <c r="S158" s="588"/>
      <c r="T158" s="370">
        <v>0</v>
      </c>
      <c r="U158" s="139"/>
      <c r="V158" s="140">
        <f t="shared" si="67"/>
        <v>0</v>
      </c>
      <c r="W158" s="141" t="str">
        <f t="shared" si="68"/>
        <v>-</v>
      </c>
      <c r="X158" s="588"/>
    </row>
    <row r="159" spans="1:25" x14ac:dyDescent="0.2">
      <c r="A159" s="169" t="s">
        <v>141</v>
      </c>
      <c r="B159" s="76" t="s">
        <v>82</v>
      </c>
      <c r="C159" s="139"/>
      <c r="D159" s="370">
        <v>0</v>
      </c>
      <c r="E159" s="370">
        <v>0</v>
      </c>
      <c r="F159" s="139"/>
      <c r="G159" s="140">
        <f t="shared" si="61"/>
        <v>0</v>
      </c>
      <c r="H159" s="141" t="str">
        <f t="shared" si="62"/>
        <v>-</v>
      </c>
      <c r="I159" s="588"/>
      <c r="J159" s="370">
        <v>0</v>
      </c>
      <c r="K159" s="139"/>
      <c r="L159" s="140">
        <f t="shared" si="63"/>
        <v>0</v>
      </c>
      <c r="M159" s="141" t="str">
        <f t="shared" si="64"/>
        <v>-</v>
      </c>
      <c r="N159" s="588"/>
      <c r="O159" s="370">
        <v>0</v>
      </c>
      <c r="P159" s="139"/>
      <c r="Q159" s="140">
        <f t="shared" si="65"/>
        <v>0</v>
      </c>
      <c r="R159" s="141" t="str">
        <f t="shared" si="66"/>
        <v>-</v>
      </c>
      <c r="S159" s="588"/>
      <c r="T159" s="370">
        <v>0</v>
      </c>
      <c r="U159" s="139"/>
      <c r="V159" s="140">
        <f t="shared" si="67"/>
        <v>0</v>
      </c>
      <c r="W159" s="141" t="str">
        <f t="shared" si="68"/>
        <v>-</v>
      </c>
      <c r="X159" s="588"/>
    </row>
    <row r="160" spans="1:25" ht="31.5" x14ac:dyDescent="0.2">
      <c r="A160" s="169" t="s">
        <v>142</v>
      </c>
      <c r="B160" s="76" t="s">
        <v>83</v>
      </c>
      <c r="C160" s="139">
        <v>58839.95</v>
      </c>
      <c r="D160" s="370">
        <v>58839.95</v>
      </c>
      <c r="E160" s="370">
        <v>0</v>
      </c>
      <c r="F160" s="139"/>
      <c r="G160" s="140">
        <f t="shared" si="61"/>
        <v>0</v>
      </c>
      <c r="H160" s="141" t="str">
        <f t="shared" si="62"/>
        <v>-</v>
      </c>
      <c r="I160" s="588"/>
      <c r="J160" s="370">
        <v>0</v>
      </c>
      <c r="K160" s="139"/>
      <c r="L160" s="140">
        <f t="shared" si="63"/>
        <v>0</v>
      </c>
      <c r="M160" s="141" t="str">
        <f t="shared" si="64"/>
        <v>-</v>
      </c>
      <c r="N160" s="588"/>
      <c r="O160" s="370">
        <v>0</v>
      </c>
      <c r="P160" s="139"/>
      <c r="Q160" s="140">
        <f t="shared" si="65"/>
        <v>0</v>
      </c>
      <c r="R160" s="141" t="str">
        <f t="shared" si="66"/>
        <v>-</v>
      </c>
      <c r="S160" s="588"/>
      <c r="T160" s="370">
        <v>58839.95</v>
      </c>
      <c r="U160" s="139"/>
      <c r="V160" s="140">
        <f t="shared" si="67"/>
        <v>-58839.95</v>
      </c>
      <c r="W160" s="141">
        <f t="shared" si="68"/>
        <v>-1</v>
      </c>
      <c r="X160" s="588"/>
    </row>
    <row r="161" spans="1:24" ht="31.5" x14ac:dyDescent="0.2">
      <c r="A161" s="169" t="s">
        <v>143</v>
      </c>
      <c r="B161" s="76" t="s">
        <v>119</v>
      </c>
      <c r="C161" s="139"/>
      <c r="D161" s="370">
        <v>0</v>
      </c>
      <c r="E161" s="370">
        <v>0</v>
      </c>
      <c r="F161" s="139"/>
      <c r="G161" s="140">
        <f t="shared" si="61"/>
        <v>0</v>
      </c>
      <c r="H161" s="141" t="str">
        <f t="shared" si="62"/>
        <v>-</v>
      </c>
      <c r="I161" s="589"/>
      <c r="J161" s="370">
        <v>0</v>
      </c>
      <c r="K161" s="139"/>
      <c r="L161" s="140">
        <f t="shared" si="63"/>
        <v>0</v>
      </c>
      <c r="M161" s="141" t="str">
        <f t="shared" si="64"/>
        <v>-</v>
      </c>
      <c r="N161" s="589"/>
      <c r="O161" s="370">
        <v>0</v>
      </c>
      <c r="P161" s="139"/>
      <c r="Q161" s="140">
        <f t="shared" si="65"/>
        <v>0</v>
      </c>
      <c r="R161" s="141" t="str">
        <f t="shared" si="66"/>
        <v>-</v>
      </c>
      <c r="S161" s="589"/>
      <c r="T161" s="370">
        <v>0</v>
      </c>
      <c r="U161" s="139"/>
      <c r="V161" s="140">
        <f t="shared" si="67"/>
        <v>0</v>
      </c>
      <c r="W161" s="141" t="str">
        <f t="shared" si="68"/>
        <v>-</v>
      </c>
      <c r="X161" s="589"/>
    </row>
    <row r="162" spans="1:24" ht="17.100000000000001" customHeight="1" x14ac:dyDescent="0.2">
      <c r="A162" s="169" t="s">
        <v>144</v>
      </c>
      <c r="B162" s="76" t="s">
        <v>84</v>
      </c>
      <c r="C162" s="139">
        <f>651.25+53266.6+43400.6+2861.68</f>
        <v>100180.12999999999</v>
      </c>
      <c r="D162" s="370">
        <v>46403.11</v>
      </c>
      <c r="E162" s="370">
        <v>788.43</v>
      </c>
      <c r="F162" s="139"/>
      <c r="G162" s="140">
        <f t="shared" si="61"/>
        <v>-788.43</v>
      </c>
      <c r="H162" s="141">
        <f t="shared" si="62"/>
        <v>-1</v>
      </c>
      <c r="I162" s="164"/>
      <c r="J162" s="370">
        <v>1442.6799999999998</v>
      </c>
      <c r="K162" s="139"/>
      <c r="L162" s="140">
        <f t="shared" si="63"/>
        <v>-1442.6799999999998</v>
      </c>
      <c r="M162" s="141">
        <f t="shared" si="64"/>
        <v>-1</v>
      </c>
      <c r="N162" s="164"/>
      <c r="O162" s="371">
        <v>1443.1799999999998</v>
      </c>
      <c r="P162" s="139"/>
      <c r="Q162" s="140">
        <f t="shared" si="65"/>
        <v>-1443.1799999999998</v>
      </c>
      <c r="R162" s="141">
        <f t="shared" si="66"/>
        <v>-1</v>
      </c>
      <c r="S162" s="164"/>
      <c r="T162" s="370">
        <v>46403.11</v>
      </c>
      <c r="U162" s="139"/>
      <c r="V162" s="140">
        <f t="shared" si="67"/>
        <v>-46403.11</v>
      </c>
      <c r="W162" s="141">
        <f t="shared" si="68"/>
        <v>-1</v>
      </c>
      <c r="X162" s="164"/>
    </row>
    <row r="163" spans="1:24" ht="17.100000000000001" customHeight="1" x14ac:dyDescent="0.2">
      <c r="A163" s="301" t="s">
        <v>85</v>
      </c>
      <c r="B163" s="302" t="s">
        <v>86</v>
      </c>
      <c r="C163" s="303">
        <f>C3+C154</f>
        <v>26976530.59</v>
      </c>
      <c r="D163" s="367">
        <v>29257588.019999996</v>
      </c>
      <c r="E163" s="367">
        <v>6690466.9600000009</v>
      </c>
      <c r="F163" s="303">
        <f>F3+F154</f>
        <v>0</v>
      </c>
      <c r="G163" s="304">
        <f t="shared" si="61"/>
        <v>-6690466.9600000009</v>
      </c>
      <c r="H163" s="305">
        <f t="shared" si="62"/>
        <v>-1</v>
      </c>
      <c r="I163" s="306"/>
      <c r="J163" s="367">
        <v>13465652.15</v>
      </c>
      <c r="K163" s="303">
        <f>K3+K154</f>
        <v>0</v>
      </c>
      <c r="L163" s="304">
        <f t="shared" si="63"/>
        <v>-13465652.15</v>
      </c>
      <c r="M163" s="305">
        <f t="shared" si="64"/>
        <v>-1</v>
      </c>
      <c r="N163" s="306"/>
      <c r="O163" s="367">
        <v>20811455.829999998</v>
      </c>
      <c r="P163" s="303">
        <f>P3+P154</f>
        <v>0</v>
      </c>
      <c r="Q163" s="304">
        <f t="shared" si="65"/>
        <v>-20811455.829999998</v>
      </c>
      <c r="R163" s="305">
        <f t="shared" si="66"/>
        <v>-1</v>
      </c>
      <c r="S163" s="306"/>
      <c r="T163" s="367">
        <v>29257588.019999996</v>
      </c>
      <c r="U163" s="303">
        <f>U3+U154</f>
        <v>0</v>
      </c>
      <c r="V163" s="304">
        <f t="shared" si="67"/>
        <v>-29257588.019999996</v>
      </c>
      <c r="W163" s="305">
        <f t="shared" si="68"/>
        <v>-1</v>
      </c>
      <c r="X163" s="306"/>
    </row>
    <row r="164" spans="1:24" ht="17.100000000000001" customHeight="1" x14ac:dyDescent="0.2">
      <c r="A164" s="179">
        <v>8000</v>
      </c>
      <c r="B164" s="176" t="s">
        <v>87</v>
      </c>
      <c r="C164" s="172">
        <f>SUM(C165:C171)</f>
        <v>201653.66999999998</v>
      </c>
      <c r="D164" s="369">
        <v>201713.21</v>
      </c>
      <c r="E164" s="369">
        <v>10277.06</v>
      </c>
      <c r="F164" s="172">
        <f>SUM(F165:F171)</f>
        <v>0</v>
      </c>
      <c r="G164" s="173">
        <f t="shared" si="61"/>
        <v>-10277.06</v>
      </c>
      <c r="H164" s="174">
        <f t="shared" si="62"/>
        <v>-1</v>
      </c>
      <c r="I164" s="587"/>
      <c r="J164" s="369">
        <v>18868.87</v>
      </c>
      <c r="K164" s="172">
        <f>SUM(K165:K171)</f>
        <v>0</v>
      </c>
      <c r="L164" s="154">
        <f t="shared" si="63"/>
        <v>-18868.87</v>
      </c>
      <c r="M164" s="155">
        <f t="shared" si="64"/>
        <v>-1</v>
      </c>
      <c r="N164" s="587"/>
      <c r="O164" s="369">
        <v>21644.949999999997</v>
      </c>
      <c r="P164" s="172">
        <f>SUM(P165:P171)</f>
        <v>0</v>
      </c>
      <c r="Q164" s="173">
        <f t="shared" si="65"/>
        <v>-21644.949999999997</v>
      </c>
      <c r="R164" s="174">
        <f t="shared" si="66"/>
        <v>-1</v>
      </c>
      <c r="S164" s="587"/>
      <c r="T164" s="369">
        <v>201713.21</v>
      </c>
      <c r="U164" s="172">
        <f>SUM(U165:U171)</f>
        <v>0</v>
      </c>
      <c r="V164" s="173">
        <f t="shared" si="67"/>
        <v>-201713.21</v>
      </c>
      <c r="W164" s="174">
        <f t="shared" si="68"/>
        <v>-1</v>
      </c>
      <c r="X164" s="587"/>
    </row>
    <row r="165" spans="1:24" ht="17.100000000000001" customHeight="1" x14ac:dyDescent="0.2">
      <c r="A165" s="95">
        <v>8100</v>
      </c>
      <c r="B165" s="76" t="s">
        <v>145</v>
      </c>
      <c r="C165" s="139">
        <v>3.49</v>
      </c>
      <c r="D165" s="370">
        <v>3.5</v>
      </c>
      <c r="E165" s="370">
        <v>0</v>
      </c>
      <c r="F165" s="139"/>
      <c r="G165" s="140">
        <f t="shared" si="61"/>
        <v>0</v>
      </c>
      <c r="H165" s="141" t="str">
        <f t="shared" si="62"/>
        <v>-</v>
      </c>
      <c r="I165" s="588"/>
      <c r="J165" s="370">
        <v>3.5</v>
      </c>
      <c r="K165" s="139"/>
      <c r="L165" s="160">
        <f t="shared" si="63"/>
        <v>-3.5</v>
      </c>
      <c r="M165" s="161">
        <f t="shared" si="64"/>
        <v>-1</v>
      </c>
      <c r="N165" s="588"/>
      <c r="O165" s="370">
        <v>3.5</v>
      </c>
      <c r="P165" s="139"/>
      <c r="Q165" s="140">
        <f t="shared" si="65"/>
        <v>-3.5</v>
      </c>
      <c r="R165" s="141">
        <f t="shared" si="66"/>
        <v>-1</v>
      </c>
      <c r="S165" s="588"/>
      <c r="T165" s="370">
        <v>3.5</v>
      </c>
      <c r="U165" s="139"/>
      <c r="V165" s="140">
        <f t="shared" si="67"/>
        <v>-3.5</v>
      </c>
      <c r="W165" s="141">
        <f t="shared" si="68"/>
        <v>-1</v>
      </c>
      <c r="X165" s="588"/>
    </row>
    <row r="166" spans="1:24" ht="17.100000000000001" customHeight="1" x14ac:dyDescent="0.2">
      <c r="A166" s="95">
        <v>8200</v>
      </c>
      <c r="B166" s="76" t="s">
        <v>90</v>
      </c>
      <c r="C166" s="139">
        <v>2.17</v>
      </c>
      <c r="D166" s="370">
        <v>0</v>
      </c>
      <c r="E166" s="370">
        <v>0</v>
      </c>
      <c r="F166" s="139"/>
      <c r="G166" s="140">
        <f t="shared" si="61"/>
        <v>0</v>
      </c>
      <c r="H166" s="141" t="str">
        <f t="shared" si="62"/>
        <v>-</v>
      </c>
      <c r="I166" s="588"/>
      <c r="J166" s="370">
        <v>0</v>
      </c>
      <c r="K166" s="139"/>
      <c r="L166" s="160">
        <f t="shared" si="63"/>
        <v>0</v>
      </c>
      <c r="M166" s="161" t="str">
        <f t="shared" si="64"/>
        <v>-</v>
      </c>
      <c r="N166" s="588"/>
      <c r="O166" s="370">
        <v>0</v>
      </c>
      <c r="P166" s="139"/>
      <c r="Q166" s="140">
        <f t="shared" si="65"/>
        <v>0</v>
      </c>
      <c r="R166" s="141" t="str">
        <f t="shared" si="66"/>
        <v>-</v>
      </c>
      <c r="S166" s="588"/>
      <c r="T166" s="370">
        <v>0</v>
      </c>
      <c r="U166" s="139"/>
      <c r="V166" s="140">
        <f t="shared" si="67"/>
        <v>0</v>
      </c>
      <c r="W166" s="141" t="str">
        <f t="shared" si="68"/>
        <v>-</v>
      </c>
      <c r="X166" s="588"/>
    </row>
    <row r="167" spans="1:24" ht="17.100000000000001" customHeight="1" x14ac:dyDescent="0.2">
      <c r="A167" s="95">
        <v>8300</v>
      </c>
      <c r="B167" s="76" t="s">
        <v>89</v>
      </c>
      <c r="C167" s="139">
        <v>31835.17</v>
      </c>
      <c r="D167" s="370">
        <v>31835.07</v>
      </c>
      <c r="E167" s="370">
        <v>1970.32</v>
      </c>
      <c r="F167" s="143"/>
      <c r="G167" s="160">
        <f t="shared" si="61"/>
        <v>-1970.32</v>
      </c>
      <c r="H167" s="161">
        <f t="shared" si="62"/>
        <v>-1</v>
      </c>
      <c r="I167" s="588"/>
      <c r="J167" s="370">
        <v>6774.36</v>
      </c>
      <c r="K167" s="143"/>
      <c r="L167" s="160">
        <f t="shared" si="63"/>
        <v>-6774.36</v>
      </c>
      <c r="M167" s="161">
        <f t="shared" si="64"/>
        <v>-1</v>
      </c>
      <c r="N167" s="588"/>
      <c r="O167" s="371">
        <v>7023.71</v>
      </c>
      <c r="P167" s="143"/>
      <c r="Q167" s="140">
        <f t="shared" si="65"/>
        <v>-7023.71</v>
      </c>
      <c r="R167" s="141">
        <f t="shared" si="66"/>
        <v>-1</v>
      </c>
      <c r="S167" s="588"/>
      <c r="T167" s="371">
        <v>31835.07</v>
      </c>
      <c r="U167" s="143"/>
      <c r="V167" s="140">
        <f t="shared" si="67"/>
        <v>-31835.07</v>
      </c>
      <c r="W167" s="141">
        <f t="shared" si="68"/>
        <v>-1</v>
      </c>
      <c r="X167" s="588"/>
    </row>
    <row r="168" spans="1:24" ht="31.5" x14ac:dyDescent="0.2">
      <c r="A168" s="95">
        <v>8600</v>
      </c>
      <c r="B168" s="76" t="s">
        <v>146</v>
      </c>
      <c r="C168" s="139">
        <v>33144.129999999997</v>
      </c>
      <c r="D168" s="370">
        <v>0</v>
      </c>
      <c r="E168" s="370">
        <v>0</v>
      </c>
      <c r="F168" s="139"/>
      <c r="G168" s="140">
        <f t="shared" si="61"/>
        <v>0</v>
      </c>
      <c r="H168" s="141" t="str">
        <f t="shared" si="62"/>
        <v>-</v>
      </c>
      <c r="I168" s="588"/>
      <c r="J168" s="370">
        <v>0</v>
      </c>
      <c r="K168" s="139"/>
      <c r="L168" s="160">
        <f t="shared" si="63"/>
        <v>0</v>
      </c>
      <c r="M168" s="161" t="str">
        <f t="shared" si="64"/>
        <v>-</v>
      </c>
      <c r="N168" s="588"/>
      <c r="O168" s="370">
        <v>0</v>
      </c>
      <c r="P168" s="139"/>
      <c r="Q168" s="140">
        <f t="shared" si="65"/>
        <v>0</v>
      </c>
      <c r="R168" s="141" t="str">
        <f t="shared" si="66"/>
        <v>-</v>
      </c>
      <c r="S168" s="588"/>
      <c r="T168" s="370">
        <v>0</v>
      </c>
      <c r="U168" s="139"/>
      <c r="V168" s="140">
        <f t="shared" si="67"/>
        <v>0</v>
      </c>
      <c r="W168" s="141" t="str">
        <f t="shared" si="68"/>
        <v>-</v>
      </c>
      <c r="X168" s="588"/>
    </row>
    <row r="169" spans="1:24" ht="31.5" x14ac:dyDescent="0.2">
      <c r="A169" s="95">
        <v>8700</v>
      </c>
      <c r="B169" s="76" t="s">
        <v>295</v>
      </c>
      <c r="C169" s="139">
        <v>113938.12</v>
      </c>
      <c r="D169" s="370">
        <v>113938.12</v>
      </c>
      <c r="E169" s="370">
        <v>0</v>
      </c>
      <c r="F169" s="139"/>
      <c r="G169" s="140">
        <f t="shared" si="61"/>
        <v>0</v>
      </c>
      <c r="H169" s="141" t="str">
        <f t="shared" si="62"/>
        <v>-</v>
      </c>
      <c r="I169" s="588"/>
      <c r="J169" s="370">
        <v>0</v>
      </c>
      <c r="K169" s="139"/>
      <c r="L169" s="160">
        <f t="shared" si="63"/>
        <v>0</v>
      </c>
      <c r="M169" s="161" t="str">
        <f t="shared" si="64"/>
        <v>-</v>
      </c>
      <c r="N169" s="588"/>
      <c r="O169" s="370">
        <v>0</v>
      </c>
      <c r="P169" s="139"/>
      <c r="Q169" s="140">
        <f t="shared" si="65"/>
        <v>0</v>
      </c>
      <c r="R169" s="141" t="str">
        <f t="shared" si="66"/>
        <v>-</v>
      </c>
      <c r="S169" s="588"/>
      <c r="T169" s="370">
        <v>113938.12</v>
      </c>
      <c r="U169" s="139"/>
      <c r="V169" s="140">
        <f t="shared" si="67"/>
        <v>-113938.12</v>
      </c>
      <c r="W169" s="141">
        <f t="shared" si="68"/>
        <v>-1</v>
      </c>
      <c r="X169" s="588"/>
    </row>
    <row r="170" spans="1:24" ht="17.100000000000001" customHeight="1" x14ac:dyDescent="0.2">
      <c r="A170" s="95">
        <v>8800</v>
      </c>
      <c r="B170" s="170" t="s">
        <v>88</v>
      </c>
      <c r="C170" s="139">
        <f>17965.52+4765+0.07</f>
        <v>22730.59</v>
      </c>
      <c r="D170" s="370">
        <v>55936.51999999999</v>
      </c>
      <c r="E170" s="370">
        <v>8306.74</v>
      </c>
      <c r="F170" s="139"/>
      <c r="G170" s="140">
        <f t="shared" si="61"/>
        <v>-8306.74</v>
      </c>
      <c r="H170" s="141">
        <f t="shared" si="62"/>
        <v>-1</v>
      </c>
      <c r="I170" s="588"/>
      <c r="J170" s="370">
        <v>12091.009999999998</v>
      </c>
      <c r="K170" s="139"/>
      <c r="L170" s="160">
        <f t="shared" si="63"/>
        <v>-12091.009999999998</v>
      </c>
      <c r="M170" s="161">
        <f t="shared" si="64"/>
        <v>-1</v>
      </c>
      <c r="N170" s="588"/>
      <c r="O170" s="371">
        <v>14617.739999999998</v>
      </c>
      <c r="P170" s="139"/>
      <c r="Q170" s="140">
        <f t="shared" si="65"/>
        <v>-14617.739999999998</v>
      </c>
      <c r="R170" s="141">
        <f t="shared" si="66"/>
        <v>-1</v>
      </c>
      <c r="S170" s="588"/>
      <c r="T170" s="371">
        <v>55936.51999999999</v>
      </c>
      <c r="U170" s="139"/>
      <c r="V170" s="140">
        <f t="shared" si="67"/>
        <v>-55936.51999999999</v>
      </c>
      <c r="W170" s="141">
        <f t="shared" si="68"/>
        <v>-1</v>
      </c>
      <c r="X170" s="588"/>
    </row>
    <row r="171" spans="1:24" ht="47.25" x14ac:dyDescent="0.2">
      <c r="A171" s="34">
        <v>8900</v>
      </c>
      <c r="B171" s="171" t="s">
        <v>147</v>
      </c>
      <c r="C171" s="139"/>
      <c r="D171" s="370">
        <v>0</v>
      </c>
      <c r="E171" s="370">
        <v>0</v>
      </c>
      <c r="F171" s="139"/>
      <c r="G171" s="140">
        <f t="shared" si="61"/>
        <v>0</v>
      </c>
      <c r="H171" s="141" t="str">
        <f t="shared" si="62"/>
        <v>-</v>
      </c>
      <c r="I171" s="589"/>
      <c r="J171" s="370">
        <v>0</v>
      </c>
      <c r="K171" s="139"/>
      <c r="L171" s="160">
        <f t="shared" si="63"/>
        <v>0</v>
      </c>
      <c r="M171" s="161" t="str">
        <f t="shared" si="64"/>
        <v>-</v>
      </c>
      <c r="N171" s="589"/>
      <c r="O171" s="370">
        <v>0</v>
      </c>
      <c r="P171" s="139"/>
      <c r="Q171" s="140">
        <f t="shared" si="65"/>
        <v>0</v>
      </c>
      <c r="R171" s="141" t="str">
        <f t="shared" si="66"/>
        <v>-</v>
      </c>
      <c r="S171" s="589"/>
      <c r="T171" s="370">
        <v>0</v>
      </c>
      <c r="U171" s="139"/>
      <c r="V171" s="140">
        <f t="shared" si="67"/>
        <v>0</v>
      </c>
      <c r="W171" s="141" t="str">
        <f t="shared" si="68"/>
        <v>-</v>
      </c>
      <c r="X171" s="589"/>
    </row>
    <row r="172" spans="1:24" ht="17.100000000000001" customHeight="1" x14ac:dyDescent="0.2">
      <c r="A172" s="301" t="s">
        <v>91</v>
      </c>
      <c r="B172" s="302" t="s">
        <v>92</v>
      </c>
      <c r="C172" s="303">
        <f t="shared" ref="C172" si="76">C144+C146+C164</f>
        <v>27776537.330000006</v>
      </c>
      <c r="D172" s="367">
        <v>29256518.414913204</v>
      </c>
      <c r="E172" s="367">
        <v>7449010.620000001</v>
      </c>
      <c r="F172" s="303">
        <f>F144+F146+F164</f>
        <v>0</v>
      </c>
      <c r="G172" s="304">
        <f t="shared" si="61"/>
        <v>-7449010.620000001</v>
      </c>
      <c r="H172" s="305">
        <f t="shared" si="62"/>
        <v>-1</v>
      </c>
      <c r="I172" s="306"/>
      <c r="J172" s="367">
        <v>14548601.078739202</v>
      </c>
      <c r="K172" s="303">
        <f>K144+K146+K164</f>
        <v>0</v>
      </c>
      <c r="L172" s="304">
        <f t="shared" si="63"/>
        <v>-14548601.078739202</v>
      </c>
      <c r="M172" s="305">
        <f t="shared" si="64"/>
        <v>-1</v>
      </c>
      <c r="N172" s="306"/>
      <c r="O172" s="367">
        <v>21483353.514913201</v>
      </c>
      <c r="P172" s="303">
        <f>P144+P146+P164</f>
        <v>0</v>
      </c>
      <c r="Q172" s="304">
        <f t="shared" si="65"/>
        <v>-21483353.514913201</v>
      </c>
      <c r="R172" s="305">
        <f t="shared" si="66"/>
        <v>-1</v>
      </c>
      <c r="S172" s="306"/>
      <c r="T172" s="367">
        <v>29256518.414913204</v>
      </c>
      <c r="U172" s="303">
        <f>U144+U146+U164</f>
        <v>0</v>
      </c>
      <c r="V172" s="304">
        <f t="shared" si="67"/>
        <v>-29256518.414913204</v>
      </c>
      <c r="W172" s="305">
        <f t="shared" si="68"/>
        <v>-1</v>
      </c>
      <c r="X172" s="306"/>
    </row>
    <row r="173" spans="1:24" ht="17.100000000000001" customHeight="1" x14ac:dyDescent="0.2">
      <c r="A173" s="295" t="s">
        <v>561</v>
      </c>
      <c r="B173" s="296" t="s">
        <v>93</v>
      </c>
      <c r="C173" s="297">
        <f>C153+C154-C164</f>
        <v>-800006.74000000302</v>
      </c>
      <c r="D173" s="585">
        <v>1069.6050867992453</v>
      </c>
      <c r="E173" s="436">
        <v>-758543.6600000005</v>
      </c>
      <c r="F173" s="297">
        <f>F153+F154-F164</f>
        <v>0</v>
      </c>
      <c r="G173" s="298">
        <f t="shared" si="61"/>
        <v>758543.6600000005</v>
      </c>
      <c r="H173" s="299">
        <f t="shared" si="62"/>
        <v>1</v>
      </c>
      <c r="I173" s="300"/>
      <c r="J173" s="379">
        <v>-1082948.928739201</v>
      </c>
      <c r="K173" s="297">
        <f>K153+K154-K164</f>
        <v>0</v>
      </c>
      <c r="L173" s="298">
        <f t="shared" si="63"/>
        <v>1082948.928739201</v>
      </c>
      <c r="M173" s="299">
        <f t="shared" si="64"/>
        <v>1</v>
      </c>
      <c r="N173" s="300"/>
      <c r="O173" s="297">
        <v>-671897.68491320068</v>
      </c>
      <c r="P173" s="297">
        <f>P153+P154-P164</f>
        <v>0</v>
      </c>
      <c r="Q173" s="298">
        <f t="shared" si="65"/>
        <v>671897.68491320068</v>
      </c>
      <c r="R173" s="299">
        <f t="shared" si="66"/>
        <v>1</v>
      </c>
      <c r="S173" s="300"/>
      <c r="T173" s="379">
        <v>1069.6050867992453</v>
      </c>
      <c r="U173" s="297">
        <f>U153+U154-U164</f>
        <v>0</v>
      </c>
      <c r="V173" s="298">
        <f t="shared" si="67"/>
        <v>-1069.6050867992453</v>
      </c>
      <c r="W173" s="299">
        <f t="shared" si="68"/>
        <v>-1</v>
      </c>
      <c r="X173" s="300"/>
    </row>
    <row r="174" spans="1:24" x14ac:dyDescent="0.2">
      <c r="F174" s="481"/>
    </row>
    <row r="175" spans="1:24" x14ac:dyDescent="0.2">
      <c r="A175" s="596" t="s">
        <v>441</v>
      </c>
      <c r="B175" s="596"/>
      <c r="C175" s="187"/>
      <c r="D175" s="188"/>
      <c r="E175" s="188"/>
      <c r="F175" s="188"/>
      <c r="G175" s="188"/>
      <c r="H175" s="188"/>
      <c r="I175" s="188"/>
    </row>
    <row r="176" spans="1:24" ht="38.450000000000003" customHeight="1" x14ac:dyDescent="0.2">
      <c r="A176" s="601" t="s">
        <v>528</v>
      </c>
      <c r="B176" s="601"/>
      <c r="C176" s="601"/>
      <c r="D176" s="601"/>
      <c r="E176" s="601"/>
      <c r="F176" s="181"/>
      <c r="G176" s="181"/>
      <c r="H176" s="181"/>
      <c r="I176" s="181"/>
      <c r="J176" s="1"/>
      <c r="K176" s="1"/>
      <c r="L176" s="1"/>
      <c r="M176" s="1"/>
      <c r="N176" s="1"/>
      <c r="O176" s="1"/>
      <c r="P176" s="1"/>
      <c r="Q176" s="1"/>
      <c r="R176" s="1"/>
      <c r="S176" s="1"/>
      <c r="T176" s="1"/>
      <c r="U176" s="1"/>
      <c r="V176" s="1"/>
      <c r="W176" s="1"/>
      <c r="X176" s="1"/>
    </row>
    <row r="177" spans="1:9" ht="36.6" customHeight="1" x14ac:dyDescent="0.2">
      <c r="A177" s="600" t="s">
        <v>527</v>
      </c>
      <c r="B177" s="600"/>
      <c r="C177" s="600"/>
      <c r="D177" s="600"/>
      <c r="E177" s="600"/>
      <c r="F177" s="188"/>
      <c r="G177" s="188"/>
      <c r="H177" s="188"/>
      <c r="I177" s="188"/>
    </row>
    <row r="178" spans="1:9" ht="45.6" customHeight="1" x14ac:dyDescent="0.2">
      <c r="A178" s="601" t="s">
        <v>533</v>
      </c>
      <c r="B178" s="601"/>
      <c r="C178" s="601"/>
      <c r="D178" s="601"/>
      <c r="E178" s="601"/>
      <c r="F178" s="188"/>
      <c r="G178" s="188"/>
      <c r="H178" s="188"/>
      <c r="I178" s="188"/>
    </row>
    <row r="179" spans="1:9" ht="20.45" customHeight="1" x14ac:dyDescent="0.2">
      <c r="A179" s="602" t="s">
        <v>443</v>
      </c>
      <c r="B179" s="602"/>
      <c r="C179" s="602"/>
      <c r="D179" s="602"/>
      <c r="E179" s="602"/>
      <c r="F179" s="188"/>
      <c r="G179" s="188"/>
      <c r="H179" s="188"/>
      <c r="I179" s="188"/>
    </row>
    <row r="180" spans="1:9" x14ac:dyDescent="0.2">
      <c r="A180" s="602" t="s">
        <v>444</v>
      </c>
      <c r="B180" s="602"/>
      <c r="C180" s="602"/>
      <c r="D180" s="602"/>
      <c r="E180" s="602"/>
      <c r="F180" s="188"/>
      <c r="G180" s="188"/>
      <c r="H180" s="188"/>
      <c r="I180" s="188"/>
    </row>
  </sheetData>
  <sheetProtection formatColumns="0" formatRows="0"/>
  <mergeCells count="94">
    <mergeCell ref="A177:E177"/>
    <mergeCell ref="A178:E178"/>
    <mergeCell ref="A179:E179"/>
    <mergeCell ref="A180:E180"/>
    <mergeCell ref="A176:E176"/>
    <mergeCell ref="A175:B175"/>
    <mergeCell ref="I148:I152"/>
    <mergeCell ref="I154:I161"/>
    <mergeCell ref="I35:I38"/>
    <mergeCell ref="I5:I9"/>
    <mergeCell ref="I10:I12"/>
    <mergeCell ref="I13:I15"/>
    <mergeCell ref="I16:I18"/>
    <mergeCell ref="I19:I21"/>
    <mergeCell ref="I22:I26"/>
    <mergeCell ref="I39:I47"/>
    <mergeCell ref="I52:I57"/>
    <mergeCell ref="I68:I73"/>
    <mergeCell ref="I74:I81"/>
    <mergeCell ref="I82:I88"/>
    <mergeCell ref="I90:I95"/>
    <mergeCell ref="I96:I101"/>
    <mergeCell ref="I104:I108"/>
    <mergeCell ref="I109:I112"/>
    <mergeCell ref="I164:I171"/>
    <mergeCell ref="S19:S21"/>
    <mergeCell ref="S22:S26"/>
    <mergeCell ref="S35:S38"/>
    <mergeCell ref="S39:S47"/>
    <mergeCell ref="S52:S57"/>
    <mergeCell ref="I119:I125"/>
    <mergeCell ref="I130:I137"/>
    <mergeCell ref="I114:I117"/>
    <mergeCell ref="N22:N26"/>
    <mergeCell ref="N35:N38"/>
    <mergeCell ref="N39:N47"/>
    <mergeCell ref="N52:N57"/>
    <mergeCell ref="N104:N108"/>
    <mergeCell ref="N109:N112"/>
    <mergeCell ref="N90:N95"/>
    <mergeCell ref="S90:S95"/>
    <mergeCell ref="S96:S101"/>
    <mergeCell ref="S104:S108"/>
    <mergeCell ref="S109:S112"/>
    <mergeCell ref="S68:S73"/>
    <mergeCell ref="S74:S81"/>
    <mergeCell ref="N68:N73"/>
    <mergeCell ref="N74:N81"/>
    <mergeCell ref="S5:S9"/>
    <mergeCell ref="S10:S12"/>
    <mergeCell ref="S13:S15"/>
    <mergeCell ref="S16:S18"/>
    <mergeCell ref="N5:N9"/>
    <mergeCell ref="N10:N12"/>
    <mergeCell ref="N13:N15"/>
    <mergeCell ref="N16:N18"/>
    <mergeCell ref="N19:N21"/>
    <mergeCell ref="N154:N161"/>
    <mergeCell ref="N164:N171"/>
    <mergeCell ref="N148:N152"/>
    <mergeCell ref="X82:X88"/>
    <mergeCell ref="X90:X95"/>
    <mergeCell ref="X96:X101"/>
    <mergeCell ref="X104:X108"/>
    <mergeCell ref="X109:X112"/>
    <mergeCell ref="S148:S152"/>
    <mergeCell ref="S154:S161"/>
    <mergeCell ref="S164:S171"/>
    <mergeCell ref="X154:X161"/>
    <mergeCell ref="X164:X171"/>
    <mergeCell ref="S82:S88"/>
    <mergeCell ref="N130:N137"/>
    <mergeCell ref="N96:N101"/>
    <mergeCell ref="N114:N117"/>
    <mergeCell ref="N119:N125"/>
    <mergeCell ref="N82:N88"/>
    <mergeCell ref="X5:X9"/>
    <mergeCell ref="X10:X12"/>
    <mergeCell ref="X13:X15"/>
    <mergeCell ref="X16:X18"/>
    <mergeCell ref="X19:X21"/>
    <mergeCell ref="X22:X26"/>
    <mergeCell ref="X35:X38"/>
    <mergeCell ref="X39:X47"/>
    <mergeCell ref="X52:X57"/>
    <mergeCell ref="X68:X73"/>
    <mergeCell ref="X74:X81"/>
    <mergeCell ref="S119:S125"/>
    <mergeCell ref="S114:S117"/>
    <mergeCell ref="S130:S137"/>
    <mergeCell ref="X148:X152"/>
    <mergeCell ref="X114:X117"/>
    <mergeCell ref="X119:X125"/>
    <mergeCell ref="X130:X137"/>
  </mergeCells>
  <phoneticPr fontId="50" type="noConversion"/>
  <pageMargins left="0.25" right="0.25" top="0.75" bottom="0.75" header="0.3" footer="0.3"/>
  <pageSetup paperSize="9" scale="17" fitToHeight="0" orientation="landscape" r:id="rId1"/>
  <headerFooter>
    <oddHeader>&amp;C&amp;"Times New Roman,Bold"&amp;14Budžeta&amp;"Times New Roman,Regular" &amp;"Times New Roman,Bold"tāme&amp;R&amp;"Times New Roman,Regular"&amp;14 1.pielikums</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4"/>
  <sheetViews>
    <sheetView view="pageBreakPreview" topLeftCell="M1" zoomScale="85" zoomScaleNormal="85" zoomScaleSheetLayoutView="85" zoomScalePageLayoutView="70" workbookViewId="0">
      <pane ySplit="1" topLeftCell="A12" activePane="bottomLeft" state="frozen"/>
      <selection pane="bottomLeft" activeCell="W2" sqref="W2"/>
    </sheetView>
  </sheetViews>
  <sheetFormatPr defaultColWidth="9.140625" defaultRowHeight="18" outlineLevelCol="1" x14ac:dyDescent="0.2"/>
  <cols>
    <col min="1" max="1" width="9.28515625" style="6" bestFit="1" customWidth="1"/>
    <col min="2" max="2" width="66.85546875" style="6" customWidth="1"/>
    <col min="3" max="5" width="16.5703125" style="6" customWidth="1"/>
    <col min="6" max="8" width="16.5703125" style="6" customWidth="1" outlineLevel="1"/>
    <col min="9" max="9" width="38.42578125" style="426" customWidth="1" outlineLevel="1"/>
    <col min="10" max="10" width="18.5703125" style="6" customWidth="1"/>
    <col min="11" max="13" width="16.5703125" style="6" customWidth="1" outlineLevel="1"/>
    <col min="14" max="14" width="38.42578125" style="6" customWidth="1" outlineLevel="1"/>
    <col min="15" max="15" width="19.7109375" style="6" customWidth="1"/>
    <col min="16" max="18" width="16.5703125" style="6" customWidth="1" outlineLevel="1"/>
    <col min="19" max="19" width="38.42578125" style="6" customWidth="1" outlineLevel="1"/>
    <col min="20" max="20" width="16.5703125" style="6" customWidth="1"/>
    <col min="21" max="23" width="16.5703125" style="6" customWidth="1" outlineLevel="1"/>
    <col min="24" max="24" width="38.42578125" style="6" customWidth="1" outlineLevel="1"/>
    <col min="25" max="16384" width="9.140625" style="6"/>
  </cols>
  <sheetData>
    <row r="1" spans="1:24" ht="78.75" x14ac:dyDescent="0.2">
      <c r="A1" s="380" t="s">
        <v>359</v>
      </c>
      <c r="B1" s="380" t="s">
        <v>510</v>
      </c>
      <c r="C1" s="381" t="s">
        <v>567</v>
      </c>
      <c r="D1" s="381" t="s">
        <v>568</v>
      </c>
      <c r="E1" s="381" t="s">
        <v>569</v>
      </c>
      <c r="F1" s="381" t="s">
        <v>574</v>
      </c>
      <c r="G1" s="382" t="s">
        <v>572</v>
      </c>
      <c r="H1" s="383" t="s">
        <v>573</v>
      </c>
      <c r="I1" s="381" t="s">
        <v>509</v>
      </c>
      <c r="J1" s="381" t="s">
        <v>570</v>
      </c>
      <c r="K1" s="381" t="s">
        <v>430</v>
      </c>
      <c r="L1" s="382" t="s">
        <v>404</v>
      </c>
      <c r="M1" s="383" t="s">
        <v>405</v>
      </c>
      <c r="N1" s="381" t="s">
        <v>509</v>
      </c>
      <c r="O1" s="381" t="s">
        <v>575</v>
      </c>
      <c r="P1" s="381" t="s">
        <v>576</v>
      </c>
      <c r="Q1" s="440" t="s">
        <v>572</v>
      </c>
      <c r="R1" s="441" t="s">
        <v>573</v>
      </c>
      <c r="S1" s="381" t="s">
        <v>509</v>
      </c>
      <c r="T1" s="381" t="s">
        <v>577</v>
      </c>
      <c r="U1" s="381" t="s">
        <v>578</v>
      </c>
      <c r="V1" s="382" t="s">
        <v>572</v>
      </c>
      <c r="W1" s="383" t="s">
        <v>573</v>
      </c>
      <c r="X1" s="381" t="s">
        <v>509</v>
      </c>
    </row>
    <row r="2" spans="1:24" x14ac:dyDescent="0.2">
      <c r="A2" s="380">
        <v>1</v>
      </c>
      <c r="B2" s="380">
        <v>2</v>
      </c>
      <c r="C2" s="381">
        <v>3</v>
      </c>
      <c r="D2" s="381">
        <v>4</v>
      </c>
      <c r="E2" s="381">
        <v>5</v>
      </c>
      <c r="F2" s="381">
        <v>6</v>
      </c>
      <c r="G2" s="382">
        <v>7</v>
      </c>
      <c r="H2" s="384">
        <v>8</v>
      </c>
      <c r="I2" s="381"/>
      <c r="J2" s="381">
        <v>10</v>
      </c>
      <c r="K2" s="381">
        <v>11</v>
      </c>
      <c r="L2" s="382">
        <v>12</v>
      </c>
      <c r="M2" s="384">
        <v>13</v>
      </c>
      <c r="N2" s="381">
        <v>14</v>
      </c>
      <c r="O2" s="381">
        <v>15</v>
      </c>
      <c r="P2" s="381">
        <v>16</v>
      </c>
      <c r="Q2" s="440">
        <v>17</v>
      </c>
      <c r="R2" s="442">
        <v>18</v>
      </c>
      <c r="S2" s="381">
        <v>19</v>
      </c>
      <c r="T2" s="381">
        <v>20</v>
      </c>
      <c r="U2" s="381">
        <v>21</v>
      </c>
      <c r="V2" s="382">
        <v>22</v>
      </c>
      <c r="W2" s="384">
        <v>23</v>
      </c>
      <c r="X2" s="381">
        <v>24</v>
      </c>
    </row>
    <row r="3" spans="1:24" x14ac:dyDescent="0.2">
      <c r="A3" s="380">
        <v>1</v>
      </c>
      <c r="B3" s="385" t="s">
        <v>350</v>
      </c>
      <c r="C3" s="386">
        <v>24602128</v>
      </c>
      <c r="D3" s="387">
        <v>26183010</v>
      </c>
      <c r="E3" s="388">
        <v>5902637</v>
      </c>
      <c r="F3" s="387">
        <v>5902637</v>
      </c>
      <c r="G3" s="389">
        <f>F3-E3</f>
        <v>0</v>
      </c>
      <c r="H3" s="390">
        <f t="shared" ref="H3:H20" si="0">IFERROR(G3/ABS(E3), "-")</f>
        <v>0</v>
      </c>
      <c r="I3" s="443"/>
      <c r="J3" s="388">
        <v>11994143</v>
      </c>
      <c r="K3" s="387">
        <v>11994143</v>
      </c>
      <c r="L3" s="389">
        <f>K3-J3</f>
        <v>0</v>
      </c>
      <c r="M3" s="390">
        <f>IFERROR(L3/ABS(J3), "-")</f>
        <v>0</v>
      </c>
      <c r="N3" s="387"/>
      <c r="O3" s="388">
        <v>18905400</v>
      </c>
      <c r="P3" s="386">
        <v>18633868</v>
      </c>
      <c r="Q3" s="391">
        <f>P3-O3</f>
        <v>-271532</v>
      </c>
      <c r="R3" s="392">
        <f>IFERROR(Q3/ABS(O3), "-")</f>
        <v>-1.4362668867096173E-2</v>
      </c>
      <c r="S3" s="393"/>
      <c r="T3" s="386">
        <v>26183010</v>
      </c>
      <c r="U3" s="386">
        <v>26256607</v>
      </c>
      <c r="V3" s="391">
        <f>U3-T3</f>
        <v>73597</v>
      </c>
      <c r="W3" s="392">
        <f>IFERROR(V3/ABS(T3), "-")</f>
        <v>2.8108685746978672E-3</v>
      </c>
      <c r="X3" s="393"/>
    </row>
    <row r="4" spans="1:24" ht="31.5" x14ac:dyDescent="0.2">
      <c r="A4" s="380">
        <v>2</v>
      </c>
      <c r="B4" s="385" t="s">
        <v>413</v>
      </c>
      <c r="C4" s="386">
        <v>23071071</v>
      </c>
      <c r="D4" s="388">
        <v>25209200</v>
      </c>
      <c r="E4" s="388">
        <v>6368508</v>
      </c>
      <c r="F4" s="387">
        <v>6368508</v>
      </c>
      <c r="G4" s="389">
        <f t="shared" ref="G4:G19" si="1">F4-E4</f>
        <v>0</v>
      </c>
      <c r="H4" s="390">
        <f t="shared" si="0"/>
        <v>0</v>
      </c>
      <c r="I4" s="443"/>
      <c r="J4" s="388">
        <f>12673091+33455-34548</f>
        <v>12671998</v>
      </c>
      <c r="K4" s="387">
        <v>12673092</v>
      </c>
      <c r="L4" s="389">
        <f t="shared" ref="L4:L9" si="2">K4-J4</f>
        <v>1094</v>
      </c>
      <c r="M4" s="390">
        <f t="shared" ref="M4:M9" si="3">IFERROR(L4/ABS(J4), "-")</f>
        <v>8.633208433271533E-5</v>
      </c>
      <c r="N4" s="387"/>
      <c r="O4" s="388">
        <v>18240300</v>
      </c>
      <c r="P4" s="386">
        <v>18764364</v>
      </c>
      <c r="Q4" s="391">
        <f t="shared" ref="Q4:Q9" si="4">P4-O4</f>
        <v>524064</v>
      </c>
      <c r="R4" s="392">
        <f t="shared" ref="R4:R9" si="5">IFERROR(Q4/ABS(O4), "-")</f>
        <v>2.8731106396276376E-2</v>
      </c>
      <c r="S4" s="393"/>
      <c r="T4" s="386">
        <v>25209200</v>
      </c>
      <c r="U4" s="386">
        <v>25305689</v>
      </c>
      <c r="V4" s="391">
        <f t="shared" ref="V4:V9" si="6">U4-T4</f>
        <v>96489</v>
      </c>
      <c r="W4" s="392">
        <f t="shared" ref="W4:W9" si="7">IFERROR(V4/ABS(T4), "-")</f>
        <v>3.8275312187614047E-3</v>
      </c>
      <c r="X4" s="393"/>
    </row>
    <row r="5" spans="1:24" x14ac:dyDescent="0.2">
      <c r="A5" s="394">
        <v>3</v>
      </c>
      <c r="B5" s="395" t="s">
        <v>351</v>
      </c>
      <c r="C5" s="396">
        <f>C3-C4</f>
        <v>1531057</v>
      </c>
      <c r="D5" s="396">
        <f t="shared" ref="D5:E5" si="8">D3-D4</f>
        <v>973810</v>
      </c>
      <c r="E5" s="444">
        <f t="shared" si="8"/>
        <v>-465871</v>
      </c>
      <c r="F5" s="396">
        <f>F3-F4</f>
        <v>-465871</v>
      </c>
      <c r="G5" s="397">
        <f t="shared" si="1"/>
        <v>0</v>
      </c>
      <c r="H5" s="398">
        <f t="shared" si="0"/>
        <v>0</v>
      </c>
      <c r="I5" s="420"/>
      <c r="J5" s="444">
        <f t="shared" ref="J5" si="9">J3-J4</f>
        <v>-677855</v>
      </c>
      <c r="K5" s="396">
        <f>K3-K4</f>
        <v>-678949</v>
      </c>
      <c r="L5" s="397">
        <f t="shared" si="2"/>
        <v>-1094</v>
      </c>
      <c r="M5" s="398">
        <f t="shared" si="3"/>
        <v>-1.6139144802354486E-3</v>
      </c>
      <c r="N5" s="399"/>
      <c r="O5" s="444">
        <f>O3-O4</f>
        <v>665100</v>
      </c>
      <c r="P5" s="444">
        <f>P3-P4</f>
        <v>-130496</v>
      </c>
      <c r="Q5" s="445">
        <f t="shared" si="4"/>
        <v>-795596</v>
      </c>
      <c r="R5" s="446">
        <f t="shared" si="5"/>
        <v>-1.1962050819425649</v>
      </c>
      <c r="S5" s="447"/>
      <c r="T5" s="444">
        <f>T3-T4</f>
        <v>973810</v>
      </c>
      <c r="U5" s="444">
        <f>U3-U4</f>
        <v>950918</v>
      </c>
      <c r="V5" s="445">
        <f t="shared" si="6"/>
        <v>-22892</v>
      </c>
      <c r="W5" s="446">
        <f t="shared" si="7"/>
        <v>-2.3507665766422606E-2</v>
      </c>
      <c r="X5" s="447"/>
    </row>
    <row r="6" spans="1:24" x14ac:dyDescent="0.2">
      <c r="A6" s="380">
        <v>4</v>
      </c>
      <c r="B6" s="385" t="s">
        <v>352</v>
      </c>
      <c r="C6" s="386"/>
      <c r="D6" s="386"/>
      <c r="E6" s="386"/>
      <c r="F6" s="386"/>
      <c r="G6" s="391">
        <f t="shared" si="1"/>
        <v>0</v>
      </c>
      <c r="H6" s="392" t="str">
        <f t="shared" si="0"/>
        <v>-</v>
      </c>
      <c r="I6" s="421"/>
      <c r="J6" s="386"/>
      <c r="K6" s="386"/>
      <c r="L6" s="391">
        <f t="shared" si="2"/>
        <v>0</v>
      </c>
      <c r="M6" s="392" t="str">
        <f t="shared" si="3"/>
        <v>-</v>
      </c>
      <c r="N6" s="393"/>
      <c r="O6" s="386"/>
      <c r="P6" s="386"/>
      <c r="Q6" s="391">
        <f t="shared" si="4"/>
        <v>0</v>
      </c>
      <c r="R6" s="392" t="str">
        <f t="shared" si="5"/>
        <v>-</v>
      </c>
      <c r="S6" s="393"/>
      <c r="T6" s="386"/>
      <c r="U6" s="386"/>
      <c r="V6" s="391">
        <f t="shared" si="6"/>
        <v>0</v>
      </c>
      <c r="W6" s="392" t="str">
        <f t="shared" si="7"/>
        <v>-</v>
      </c>
      <c r="X6" s="393"/>
    </row>
    <row r="7" spans="1:24" ht="236.25" x14ac:dyDescent="0.2">
      <c r="A7" s="380">
        <v>5</v>
      </c>
      <c r="B7" s="385" t="s">
        <v>353</v>
      </c>
      <c r="C7" s="386">
        <v>1094473</v>
      </c>
      <c r="D7" s="386">
        <v>1069567</v>
      </c>
      <c r="E7" s="386">
        <v>260065</v>
      </c>
      <c r="F7" s="386">
        <v>260065</v>
      </c>
      <c r="G7" s="391">
        <f t="shared" si="1"/>
        <v>0</v>
      </c>
      <c r="H7" s="392">
        <f t="shared" si="0"/>
        <v>0</v>
      </c>
      <c r="I7" s="421"/>
      <c r="J7" s="386">
        <v>538861</v>
      </c>
      <c r="K7" s="386">
        <v>538861</v>
      </c>
      <c r="L7" s="391">
        <f t="shared" si="2"/>
        <v>0</v>
      </c>
      <c r="M7" s="392">
        <f t="shared" si="3"/>
        <v>0</v>
      </c>
      <c r="N7" s="393"/>
      <c r="O7" s="386">
        <v>773900</v>
      </c>
      <c r="P7" s="386">
        <v>942277</v>
      </c>
      <c r="Q7" s="391">
        <f t="shared" si="4"/>
        <v>168377</v>
      </c>
      <c r="R7" s="392">
        <f t="shared" si="5"/>
        <v>0.21756945341775424</v>
      </c>
      <c r="S7" s="548" t="s">
        <v>708</v>
      </c>
      <c r="T7" s="386">
        <v>1069567</v>
      </c>
      <c r="U7" s="386">
        <v>1365606</v>
      </c>
      <c r="V7" s="391">
        <f t="shared" si="6"/>
        <v>296039</v>
      </c>
      <c r="W7" s="392">
        <f t="shared" si="7"/>
        <v>0.27678396958769297</v>
      </c>
      <c r="X7" s="555" t="s">
        <v>721</v>
      </c>
    </row>
    <row r="8" spans="1:24" x14ac:dyDescent="0.2">
      <c r="A8" s="380">
        <v>6</v>
      </c>
      <c r="B8" s="385" t="s">
        <v>354</v>
      </c>
      <c r="C8" s="386">
        <v>660037</v>
      </c>
      <c r="D8" s="386">
        <v>748652</v>
      </c>
      <c r="E8" s="386">
        <f>210060</f>
        <v>210060</v>
      </c>
      <c r="F8" s="386">
        <v>210060</v>
      </c>
      <c r="G8" s="391">
        <f t="shared" si="1"/>
        <v>0</v>
      </c>
      <c r="H8" s="392">
        <f t="shared" si="0"/>
        <v>0</v>
      </c>
      <c r="I8" s="421"/>
      <c r="J8" s="386">
        <f>342345+2</f>
        <v>342347</v>
      </c>
      <c r="K8" s="386">
        <v>342345</v>
      </c>
      <c r="L8" s="391">
        <f t="shared" si="2"/>
        <v>-2</v>
      </c>
      <c r="M8" s="392">
        <f t="shared" si="3"/>
        <v>-5.8420257808597707E-6</v>
      </c>
      <c r="N8" s="393"/>
      <c r="O8" s="386">
        <v>540522</v>
      </c>
      <c r="P8" s="386">
        <v>472523</v>
      </c>
      <c r="Q8" s="391">
        <f t="shared" si="4"/>
        <v>-67999</v>
      </c>
      <c r="R8" s="392">
        <f t="shared" si="5"/>
        <v>-0.12580246502455034</v>
      </c>
      <c r="S8" s="393"/>
      <c r="T8" s="386">
        <v>748652</v>
      </c>
      <c r="U8" s="386">
        <v>719843</v>
      </c>
      <c r="V8" s="391">
        <f t="shared" si="6"/>
        <v>-28809</v>
      </c>
      <c r="W8" s="392">
        <f t="shared" si="7"/>
        <v>-3.848116347782414E-2</v>
      </c>
      <c r="X8" s="393"/>
    </row>
    <row r="9" spans="1:24" ht="141.75" x14ac:dyDescent="0.2">
      <c r="A9" s="380">
        <v>7</v>
      </c>
      <c r="B9" s="385" t="s">
        <v>355</v>
      </c>
      <c r="C9" s="386">
        <v>887594</v>
      </c>
      <c r="D9" s="386">
        <v>662762</v>
      </c>
      <c r="E9" s="386">
        <f>150597-5137</f>
        <v>145460</v>
      </c>
      <c r="F9" s="386">
        <v>150597</v>
      </c>
      <c r="G9" s="391">
        <f t="shared" si="1"/>
        <v>5137</v>
      </c>
      <c r="H9" s="392">
        <f t="shared" si="0"/>
        <v>3.5315550666849993E-2</v>
      </c>
      <c r="I9" s="421"/>
      <c r="J9" s="386">
        <f>334641+15</f>
        <v>334656</v>
      </c>
      <c r="K9" s="386">
        <f>334641+14</f>
        <v>334655</v>
      </c>
      <c r="L9" s="391">
        <f t="shared" si="2"/>
        <v>-1</v>
      </c>
      <c r="M9" s="392">
        <f t="shared" si="3"/>
        <v>-2.9881430483840122E-6</v>
      </c>
      <c r="N9" s="393"/>
      <c r="O9" s="386">
        <v>479544</v>
      </c>
      <c r="P9" s="386">
        <f>475991+12+33455</f>
        <v>509458</v>
      </c>
      <c r="Q9" s="391">
        <f t="shared" si="4"/>
        <v>29914</v>
      </c>
      <c r="R9" s="392">
        <f t="shared" si="5"/>
        <v>6.2380094423035215E-2</v>
      </c>
      <c r="S9" s="393"/>
      <c r="T9" s="386">
        <v>662762</v>
      </c>
      <c r="U9" s="386">
        <v>1105242</v>
      </c>
      <c r="V9" s="391">
        <f t="shared" si="6"/>
        <v>442480</v>
      </c>
      <c r="W9" s="392">
        <f t="shared" si="7"/>
        <v>0.66763031072994528</v>
      </c>
      <c r="X9" s="555" t="s">
        <v>722</v>
      </c>
    </row>
    <row r="10" spans="1:24" x14ac:dyDescent="0.2">
      <c r="A10" s="380">
        <v>8</v>
      </c>
      <c r="B10" s="385" t="s">
        <v>432</v>
      </c>
      <c r="C10" s="386"/>
      <c r="D10" s="386"/>
      <c r="E10" s="386"/>
      <c r="F10" s="386"/>
      <c r="G10" s="391">
        <f>F10-E10</f>
        <v>0</v>
      </c>
      <c r="H10" s="392" t="str">
        <f>IFERROR(G10/ABS(E10), "-")</f>
        <v>-</v>
      </c>
      <c r="I10" s="421"/>
      <c r="J10" s="386"/>
      <c r="K10" s="386"/>
      <c r="L10" s="391">
        <f>K10-J10</f>
        <v>0</v>
      </c>
      <c r="M10" s="392" t="str">
        <f>IFERROR(L10/ABS(J10), "-")</f>
        <v>-</v>
      </c>
      <c r="N10" s="393"/>
      <c r="O10" s="386"/>
      <c r="P10" s="386"/>
      <c r="Q10" s="391">
        <f>P10-O10</f>
        <v>0</v>
      </c>
      <c r="R10" s="392" t="str">
        <f>IFERROR(Q10/ABS(O10), "-")</f>
        <v>-</v>
      </c>
      <c r="S10" s="393"/>
      <c r="T10" s="386"/>
      <c r="U10" s="386"/>
      <c r="V10" s="391">
        <f>U10-T10</f>
        <v>0</v>
      </c>
      <c r="W10" s="392" t="str">
        <f>IFERROR(V10/ABS(T10), "-")</f>
        <v>-</v>
      </c>
      <c r="X10" s="393"/>
    </row>
    <row r="11" spans="1:24" ht="31.5" x14ac:dyDescent="0.2">
      <c r="A11" s="380">
        <v>9</v>
      </c>
      <c r="B11" s="385" t="s">
        <v>356</v>
      </c>
      <c r="C11" s="386"/>
      <c r="D11" s="386"/>
      <c r="E11" s="386"/>
      <c r="F11" s="386"/>
      <c r="G11" s="391">
        <f t="shared" si="1"/>
        <v>0</v>
      </c>
      <c r="H11" s="392" t="str">
        <f t="shared" si="0"/>
        <v>-</v>
      </c>
      <c r="I11" s="421"/>
      <c r="J11" s="386"/>
      <c r="K11" s="386"/>
      <c r="L11" s="391">
        <f t="shared" ref="L11:L19" si="10">K11-J11</f>
        <v>0</v>
      </c>
      <c r="M11" s="392" t="str">
        <f t="shared" ref="M11:M20" si="11">IFERROR(L11/ABS(J11), "-")</f>
        <v>-</v>
      </c>
      <c r="N11" s="393"/>
      <c r="O11" s="386"/>
      <c r="P11" s="386"/>
      <c r="Q11" s="391">
        <f t="shared" ref="Q11:Q19" si="12">P11-O11</f>
        <v>0</v>
      </c>
      <c r="R11" s="392" t="str">
        <f t="shared" ref="R11:R20" si="13">IFERROR(Q11/ABS(O11), "-")</f>
        <v>-</v>
      </c>
      <c r="S11" s="393"/>
      <c r="T11" s="386"/>
      <c r="U11" s="386"/>
      <c r="V11" s="391">
        <f t="shared" ref="V11:V20" si="14">U11-T11</f>
        <v>0</v>
      </c>
      <c r="W11" s="392" t="str">
        <f t="shared" ref="W11:W19" si="15">IFERROR(V11/ABS(T11), "-")</f>
        <v>-</v>
      </c>
      <c r="X11" s="393"/>
    </row>
    <row r="12" spans="1:24" ht="78.75" x14ac:dyDescent="0.2">
      <c r="A12" s="380">
        <v>10</v>
      </c>
      <c r="B12" s="385" t="s">
        <v>357</v>
      </c>
      <c r="C12" s="386">
        <v>63</v>
      </c>
      <c r="D12" s="386">
        <v>50</v>
      </c>
      <c r="E12" s="386">
        <v>21</v>
      </c>
      <c r="F12" s="386">
        <v>21</v>
      </c>
      <c r="G12" s="391">
        <f t="shared" si="1"/>
        <v>0</v>
      </c>
      <c r="H12" s="392">
        <f t="shared" si="0"/>
        <v>0</v>
      </c>
      <c r="I12" s="421"/>
      <c r="J12" s="386">
        <v>39</v>
      </c>
      <c r="K12" s="386">
        <v>39</v>
      </c>
      <c r="L12" s="391">
        <f t="shared" si="10"/>
        <v>0</v>
      </c>
      <c r="M12" s="392">
        <f t="shared" si="11"/>
        <v>0</v>
      </c>
      <c r="N12" s="393"/>
      <c r="O12" s="386">
        <v>39</v>
      </c>
      <c r="P12" s="386">
        <v>60</v>
      </c>
      <c r="Q12" s="391">
        <f t="shared" si="12"/>
        <v>21</v>
      </c>
      <c r="R12" s="392">
        <f t="shared" si="13"/>
        <v>0.53846153846153844</v>
      </c>
      <c r="S12" s="548" t="s">
        <v>709</v>
      </c>
      <c r="T12" s="386">
        <v>50</v>
      </c>
      <c r="U12" s="386">
        <v>80</v>
      </c>
      <c r="V12" s="391">
        <f t="shared" si="14"/>
        <v>30</v>
      </c>
      <c r="W12" s="392">
        <f t="shared" si="15"/>
        <v>0.6</v>
      </c>
      <c r="X12" s="555" t="s">
        <v>723</v>
      </c>
    </row>
    <row r="13" spans="1:24" ht="31.5" x14ac:dyDescent="0.2">
      <c r="A13" s="380">
        <v>11</v>
      </c>
      <c r="B13" s="385" t="s">
        <v>433</v>
      </c>
      <c r="C13" s="386"/>
      <c r="D13" s="386"/>
      <c r="E13" s="386"/>
      <c r="F13" s="386"/>
      <c r="G13" s="391">
        <f t="shared" si="1"/>
        <v>0</v>
      </c>
      <c r="H13" s="392" t="str">
        <f t="shared" si="0"/>
        <v>-</v>
      </c>
      <c r="I13" s="421"/>
      <c r="J13" s="386"/>
      <c r="K13" s="386"/>
      <c r="L13" s="391">
        <f t="shared" si="10"/>
        <v>0</v>
      </c>
      <c r="M13" s="392" t="str">
        <f t="shared" si="11"/>
        <v>-</v>
      </c>
      <c r="N13" s="393"/>
      <c r="O13" s="386"/>
      <c r="P13" s="386"/>
      <c r="Q13" s="391">
        <f t="shared" si="12"/>
        <v>0</v>
      </c>
      <c r="R13" s="392" t="str">
        <f t="shared" si="13"/>
        <v>-</v>
      </c>
      <c r="S13" s="393"/>
      <c r="T13" s="386"/>
      <c r="U13" s="386"/>
      <c r="V13" s="391">
        <f t="shared" si="14"/>
        <v>0</v>
      </c>
      <c r="W13" s="392" t="str">
        <f t="shared" si="15"/>
        <v>-</v>
      </c>
      <c r="X13" s="393"/>
    </row>
    <row r="14" spans="1:24" x14ac:dyDescent="0.2">
      <c r="A14" s="380">
        <v>12</v>
      </c>
      <c r="B14" s="385" t="s">
        <v>358</v>
      </c>
      <c r="C14" s="386"/>
      <c r="D14" s="386"/>
      <c r="E14" s="386"/>
      <c r="F14" s="386"/>
      <c r="G14" s="391">
        <f t="shared" si="1"/>
        <v>0</v>
      </c>
      <c r="H14" s="392" t="str">
        <f t="shared" si="0"/>
        <v>-</v>
      </c>
      <c r="I14" s="421"/>
      <c r="J14" s="386"/>
      <c r="K14" s="386"/>
      <c r="L14" s="391">
        <f t="shared" si="10"/>
        <v>0</v>
      </c>
      <c r="M14" s="392" t="str">
        <f t="shared" si="11"/>
        <v>-</v>
      </c>
      <c r="N14" s="393"/>
      <c r="O14" s="386"/>
      <c r="P14" s="386"/>
      <c r="Q14" s="391">
        <f t="shared" si="12"/>
        <v>0</v>
      </c>
      <c r="R14" s="392" t="str">
        <f t="shared" si="13"/>
        <v>-</v>
      </c>
      <c r="S14" s="393"/>
      <c r="T14" s="386"/>
      <c r="U14" s="386"/>
      <c r="V14" s="391">
        <f t="shared" si="14"/>
        <v>0</v>
      </c>
      <c r="W14" s="392" t="str">
        <f t="shared" si="15"/>
        <v>-</v>
      </c>
      <c r="X14" s="393"/>
    </row>
    <row r="15" spans="1:24" ht="78.75" x14ac:dyDescent="0.2">
      <c r="A15" s="394">
        <v>13</v>
      </c>
      <c r="B15" s="395" t="s">
        <v>434</v>
      </c>
      <c r="C15" s="396">
        <f>C5-C6-C7+C8-C9+C10+C11+C12-C13-C14</f>
        <v>209090</v>
      </c>
      <c r="D15" s="396">
        <f>D5-D6-D7+D8-D9+D10+D11+D12-D13-D14</f>
        <v>-9817</v>
      </c>
      <c r="E15" s="444">
        <f>E5-E7+E8-E9+E12</f>
        <v>-661315</v>
      </c>
      <c r="F15" s="396">
        <f t="shared" ref="F15" si="16">F5-F6-F7+F8-F9+F10+F11+F12-F13-F14</f>
        <v>-666452</v>
      </c>
      <c r="G15" s="397">
        <f t="shared" si="1"/>
        <v>-5137</v>
      </c>
      <c r="H15" s="398">
        <f t="shared" si="0"/>
        <v>-7.7678564677952262E-3</v>
      </c>
      <c r="I15" s="448"/>
      <c r="J15" s="444">
        <f>J5-J7+J8-J9+J12</f>
        <v>-1208986</v>
      </c>
      <c r="K15" s="396">
        <f t="shared" ref="K15" si="17">K5-K6-K7+K8-K9+K10+K11+K12-K13-K14</f>
        <v>-1210081</v>
      </c>
      <c r="L15" s="397">
        <f t="shared" si="10"/>
        <v>-1095</v>
      </c>
      <c r="M15" s="398">
        <f t="shared" si="11"/>
        <v>-9.0571768407574614E-4</v>
      </c>
      <c r="N15" s="399"/>
      <c r="O15" s="444">
        <f>O5-O7+O8-O9+O12</f>
        <v>-47783</v>
      </c>
      <c r="P15" s="444">
        <f t="shared" ref="P15" si="18">P5-P6-P7+P8-P9+P10+P11+P12-P13-P14</f>
        <v>-1109648</v>
      </c>
      <c r="Q15" s="445">
        <f t="shared" si="12"/>
        <v>-1061865</v>
      </c>
      <c r="R15" s="446">
        <f t="shared" si="13"/>
        <v>-22.222652407760084</v>
      </c>
      <c r="S15" s="549" t="s">
        <v>710</v>
      </c>
      <c r="T15" s="444">
        <f>T5-T7+T8-T9+T12</f>
        <v>-9817</v>
      </c>
      <c r="U15" s="396">
        <f>U5-U6-U7+U8-U9+U10+U11+U12-U13-U14</f>
        <v>-800007</v>
      </c>
      <c r="V15" s="397">
        <f t="shared" si="14"/>
        <v>-790190</v>
      </c>
      <c r="W15" s="398">
        <f t="shared" si="15"/>
        <v>-80.492003667108079</v>
      </c>
      <c r="X15" s="556" t="s">
        <v>724</v>
      </c>
    </row>
    <row r="16" spans="1:24" x14ac:dyDescent="0.2">
      <c r="A16" s="380">
        <v>14</v>
      </c>
      <c r="B16" s="385" t="s">
        <v>435</v>
      </c>
      <c r="C16" s="386"/>
      <c r="D16" s="386"/>
      <c r="E16" s="386"/>
      <c r="F16" s="386"/>
      <c r="G16" s="391">
        <f t="shared" si="1"/>
        <v>0</v>
      </c>
      <c r="H16" s="392" t="str">
        <f>IFERROR(G16/ABS(E16), "-")</f>
        <v>-</v>
      </c>
      <c r="I16" s="421"/>
      <c r="J16" s="386"/>
      <c r="K16" s="386">
        <v>33455</v>
      </c>
      <c r="L16" s="391">
        <f t="shared" si="10"/>
        <v>33455</v>
      </c>
      <c r="M16" s="392" t="str">
        <f t="shared" si="11"/>
        <v>-</v>
      </c>
      <c r="N16" s="393"/>
      <c r="O16" s="386"/>
      <c r="P16" s="386"/>
      <c r="Q16" s="391">
        <f t="shared" si="12"/>
        <v>0</v>
      </c>
      <c r="R16" s="392" t="str">
        <f t="shared" si="13"/>
        <v>-</v>
      </c>
      <c r="S16" s="393"/>
      <c r="T16" s="386"/>
      <c r="U16" s="386"/>
      <c r="V16" s="391">
        <f t="shared" si="14"/>
        <v>0</v>
      </c>
      <c r="W16" s="392" t="str">
        <f t="shared" si="15"/>
        <v>-</v>
      </c>
      <c r="X16" s="393"/>
    </row>
    <row r="17" spans="1:24" ht="31.5" x14ac:dyDescent="0.2">
      <c r="A17" s="394">
        <v>15</v>
      </c>
      <c r="B17" s="395" t="s">
        <v>436</v>
      </c>
      <c r="C17" s="400">
        <f>C15-C16</f>
        <v>209090</v>
      </c>
      <c r="D17" s="400">
        <f t="shared" ref="D17:Q17" si="19">D15-D16</f>
        <v>-9817</v>
      </c>
      <c r="E17" s="449">
        <f t="shared" si="19"/>
        <v>-661315</v>
      </c>
      <c r="F17" s="400">
        <f t="shared" si="19"/>
        <v>-666452</v>
      </c>
      <c r="G17" s="400">
        <f t="shared" si="19"/>
        <v>-5137</v>
      </c>
      <c r="H17" s="401">
        <f>IFERROR(G17/ABS(E17), "-")</f>
        <v>-7.7678564677952262E-3</v>
      </c>
      <c r="I17" s="450"/>
      <c r="J17" s="449">
        <f t="shared" si="19"/>
        <v>-1208986</v>
      </c>
      <c r="K17" s="400">
        <f t="shared" si="19"/>
        <v>-1243536</v>
      </c>
      <c r="L17" s="400">
        <f>L15-L16</f>
        <v>-34550</v>
      </c>
      <c r="M17" s="401">
        <f t="shared" si="11"/>
        <v>-2.857766756604295E-2</v>
      </c>
      <c r="N17" s="400"/>
      <c r="O17" s="449">
        <f t="shared" ref="O17:P17" si="20">O15-O16</f>
        <v>-47783</v>
      </c>
      <c r="P17" s="449">
        <f t="shared" si="20"/>
        <v>-1109648</v>
      </c>
      <c r="Q17" s="449">
        <f t="shared" si="19"/>
        <v>-1061865</v>
      </c>
      <c r="R17" s="392">
        <f t="shared" si="13"/>
        <v>-22.222652407760084</v>
      </c>
      <c r="S17" s="449" t="e">
        <f t="shared" ref="S17" si="21">S15-S16</f>
        <v>#VALUE!</v>
      </c>
      <c r="T17" s="449">
        <f>T15-T16</f>
        <v>-9817</v>
      </c>
      <c r="U17" s="400">
        <f>U15-U16</f>
        <v>-800007</v>
      </c>
      <c r="V17" s="402">
        <f t="shared" si="14"/>
        <v>-790190</v>
      </c>
      <c r="W17" s="401">
        <f>IFERROR(V17/ABS(T17), "-")</f>
        <v>-80.492003667108079</v>
      </c>
      <c r="X17" s="403"/>
    </row>
    <row r="18" spans="1:24" ht="31.5" x14ac:dyDescent="0.2">
      <c r="A18" s="380">
        <v>16</v>
      </c>
      <c r="B18" s="385" t="s">
        <v>437</v>
      </c>
      <c r="C18" s="386"/>
      <c r="D18" s="386"/>
      <c r="E18" s="386"/>
      <c r="F18" s="386"/>
      <c r="G18" s="391">
        <f t="shared" si="1"/>
        <v>0</v>
      </c>
      <c r="H18" s="392" t="str">
        <f t="shared" si="0"/>
        <v>-</v>
      </c>
      <c r="I18" s="421"/>
      <c r="J18" s="386"/>
      <c r="K18" s="386"/>
      <c r="L18" s="391">
        <f t="shared" si="10"/>
        <v>0</v>
      </c>
      <c r="M18" s="392" t="str">
        <f t="shared" si="11"/>
        <v>-</v>
      </c>
      <c r="N18" s="393"/>
      <c r="O18" s="386"/>
      <c r="P18" s="386"/>
      <c r="Q18" s="391">
        <f t="shared" si="12"/>
        <v>0</v>
      </c>
      <c r="R18" s="392" t="str">
        <f t="shared" si="13"/>
        <v>-</v>
      </c>
      <c r="S18" s="393"/>
      <c r="T18" s="386"/>
      <c r="U18" s="386"/>
      <c r="V18" s="391">
        <f t="shared" si="14"/>
        <v>0</v>
      </c>
      <c r="W18" s="392" t="str">
        <f t="shared" si="15"/>
        <v>-</v>
      </c>
      <c r="X18" s="393"/>
    </row>
    <row r="19" spans="1:24" x14ac:dyDescent="0.2">
      <c r="A19" s="380">
        <v>17</v>
      </c>
      <c r="B19" s="385" t="s">
        <v>438</v>
      </c>
      <c r="C19" s="386"/>
      <c r="D19" s="386"/>
      <c r="E19" s="386"/>
      <c r="F19" s="386"/>
      <c r="G19" s="391">
        <f t="shared" si="1"/>
        <v>0</v>
      </c>
      <c r="H19" s="392" t="str">
        <f t="shared" si="0"/>
        <v>-</v>
      </c>
      <c r="I19" s="421"/>
      <c r="J19" s="386"/>
      <c r="K19" s="386"/>
      <c r="L19" s="391">
        <f t="shared" si="10"/>
        <v>0</v>
      </c>
      <c r="M19" s="392" t="str">
        <f t="shared" si="11"/>
        <v>-</v>
      </c>
      <c r="N19" s="393"/>
      <c r="O19" s="386"/>
      <c r="P19" s="386"/>
      <c r="Q19" s="391">
        <f t="shared" si="12"/>
        <v>0</v>
      </c>
      <c r="R19" s="392" t="str">
        <f t="shared" si="13"/>
        <v>-</v>
      </c>
      <c r="S19" s="393"/>
      <c r="T19" s="386"/>
      <c r="U19" s="386"/>
      <c r="V19" s="391">
        <f t="shared" si="14"/>
        <v>0</v>
      </c>
      <c r="W19" s="392" t="str">
        <f t="shared" si="15"/>
        <v>-</v>
      </c>
      <c r="X19" s="393"/>
    </row>
    <row r="20" spans="1:24" x14ac:dyDescent="0.2">
      <c r="A20" s="404">
        <v>18</v>
      </c>
      <c r="B20" s="405" t="s">
        <v>439</v>
      </c>
      <c r="C20" s="406">
        <f>C17-C18-C19</f>
        <v>209090</v>
      </c>
      <c r="D20" s="406">
        <v>-9817</v>
      </c>
      <c r="E20" s="444">
        <v>-661315</v>
      </c>
      <c r="F20" s="406">
        <f t="shared" ref="F20:U20" si="22">F17-F18-F19</f>
        <v>-666452</v>
      </c>
      <c r="G20" s="406">
        <f t="shared" si="22"/>
        <v>-5137</v>
      </c>
      <c r="H20" s="407">
        <f t="shared" si="0"/>
        <v>-7.7678564677952262E-3</v>
      </c>
      <c r="I20" s="451"/>
      <c r="J20" s="444">
        <v>-1208986</v>
      </c>
      <c r="K20" s="406">
        <f t="shared" si="22"/>
        <v>-1243536</v>
      </c>
      <c r="L20" s="406">
        <f t="shared" si="22"/>
        <v>-34550</v>
      </c>
      <c r="M20" s="407">
        <f t="shared" si="11"/>
        <v>-2.857766756604295E-2</v>
      </c>
      <c r="N20" s="406"/>
      <c r="O20" s="444">
        <v>-47783</v>
      </c>
      <c r="P20" s="444">
        <f t="shared" ref="P20" si="23">P17-P18-P19</f>
        <v>-1109648</v>
      </c>
      <c r="Q20" s="444">
        <f t="shared" si="22"/>
        <v>-1061865</v>
      </c>
      <c r="R20" s="392">
        <f t="shared" si="13"/>
        <v>-22.222652407760084</v>
      </c>
      <c r="S20" s="444" t="e">
        <f t="shared" ref="S20" si="24">S17-S18-S19</f>
        <v>#VALUE!</v>
      </c>
      <c r="T20" s="444">
        <v>-9817</v>
      </c>
      <c r="U20" s="396">
        <f t="shared" si="22"/>
        <v>-800007</v>
      </c>
      <c r="V20" s="397">
        <f t="shared" si="14"/>
        <v>-790190</v>
      </c>
      <c r="W20" s="398">
        <f>IFERROR(V20/ABS(T20), "-")</f>
        <v>-80.492003667108079</v>
      </c>
      <c r="X20" s="399"/>
    </row>
    <row r="21" spans="1:24" x14ac:dyDescent="0.2">
      <c r="A21" s="408">
        <v>19</v>
      </c>
      <c r="B21" s="409" t="s">
        <v>440</v>
      </c>
      <c r="C21" s="410"/>
      <c r="D21" s="410"/>
      <c r="E21" s="444"/>
      <c r="F21" s="410"/>
      <c r="G21" s="411"/>
      <c r="H21" s="412"/>
      <c r="I21" s="420"/>
      <c r="J21" s="444"/>
      <c r="K21" s="410"/>
      <c r="L21" s="411"/>
      <c r="M21" s="412"/>
      <c r="N21" s="413"/>
      <c r="O21" s="444"/>
      <c r="P21" s="444"/>
      <c r="Q21" s="445"/>
      <c r="R21" s="446"/>
      <c r="S21" s="447"/>
      <c r="T21" s="444"/>
      <c r="U21" s="410"/>
      <c r="V21" s="411"/>
      <c r="W21" s="412"/>
      <c r="X21" s="413"/>
    </row>
    <row r="22" spans="1:24" ht="19.5" x14ac:dyDescent="0.2">
      <c r="A22" s="20"/>
      <c r="B22" s="21"/>
      <c r="C22" s="22"/>
      <c r="D22" s="22"/>
      <c r="E22" s="452"/>
      <c r="F22" s="452"/>
      <c r="G22" s="453"/>
      <c r="H22" s="454"/>
      <c r="I22" s="455"/>
      <c r="J22" s="452"/>
      <c r="K22" s="452"/>
      <c r="L22" s="453"/>
      <c r="M22" s="454"/>
      <c r="N22" s="456"/>
      <c r="O22" s="452"/>
      <c r="P22" s="452"/>
      <c r="Q22" s="453"/>
      <c r="R22" s="454"/>
      <c r="S22" s="456"/>
      <c r="T22" s="452"/>
      <c r="U22" s="22"/>
      <c r="V22" s="414"/>
      <c r="W22" s="415"/>
      <c r="X22" s="23"/>
    </row>
    <row r="23" spans="1:24" ht="19.5" x14ac:dyDescent="0.2">
      <c r="A23" s="20"/>
      <c r="B23" s="21"/>
      <c r="C23" s="22"/>
      <c r="D23" s="22"/>
      <c r="E23" s="452"/>
      <c r="F23" s="452"/>
      <c r="G23" s="453"/>
      <c r="H23" s="454"/>
      <c r="I23" s="455"/>
      <c r="J23" s="452"/>
      <c r="K23" s="452"/>
      <c r="L23" s="453"/>
      <c r="M23" s="454"/>
      <c r="N23" s="456"/>
      <c r="O23" s="452"/>
      <c r="P23" s="452"/>
      <c r="Q23" s="453"/>
      <c r="R23" s="454"/>
      <c r="S23" s="456"/>
      <c r="T23" s="452"/>
      <c r="U23" s="22"/>
      <c r="V23" s="414"/>
      <c r="W23" s="415"/>
      <c r="X23" s="23"/>
    </row>
    <row r="24" spans="1:24" x14ac:dyDescent="0.25">
      <c r="A24" s="604" t="s">
        <v>441</v>
      </c>
      <c r="B24" s="604"/>
      <c r="C24" s="416"/>
      <c r="D24" s="457"/>
      <c r="E24" s="458"/>
      <c r="F24" s="459"/>
      <c r="G24" s="459"/>
      <c r="H24" s="460"/>
      <c r="I24" s="461"/>
      <c r="J24" s="462"/>
      <c r="K24" s="463"/>
      <c r="L24" s="463"/>
      <c r="M24" s="463"/>
      <c r="N24" s="463"/>
      <c r="O24" s="464"/>
      <c r="P24" s="463"/>
      <c r="Q24" s="463"/>
      <c r="R24" s="463"/>
      <c r="S24" s="463"/>
      <c r="T24" s="465"/>
      <c r="U24" s="7"/>
      <c r="V24" s="7"/>
      <c r="W24" s="7"/>
      <c r="X24" s="7"/>
    </row>
    <row r="25" spans="1:24" x14ac:dyDescent="0.2">
      <c r="A25" s="605" t="s">
        <v>513</v>
      </c>
      <c r="B25" s="605"/>
      <c r="C25" s="605"/>
      <c r="D25" s="605"/>
      <c r="E25" s="605"/>
      <c r="F25" s="417"/>
      <c r="G25" s="417"/>
      <c r="I25" s="423"/>
      <c r="J25" s="466"/>
      <c r="O25" s="467"/>
      <c r="P25" s="468"/>
      <c r="Q25" s="468"/>
      <c r="R25" s="468"/>
      <c r="S25" s="468"/>
      <c r="T25" s="467"/>
    </row>
    <row r="26" spans="1:24" x14ac:dyDescent="0.2">
      <c r="A26" s="603" t="s">
        <v>445</v>
      </c>
      <c r="B26" s="603"/>
      <c r="C26" s="603"/>
      <c r="D26" s="603"/>
      <c r="E26" s="603"/>
      <c r="F26" s="603"/>
      <c r="G26" s="603"/>
      <c r="H26" s="7"/>
      <c r="I26" s="422"/>
      <c r="J26" s="7"/>
      <c r="K26" s="7"/>
      <c r="L26" s="7"/>
      <c r="M26" s="7"/>
      <c r="N26" s="7"/>
      <c r="O26" s="7"/>
      <c r="P26" s="7"/>
      <c r="Q26" s="7"/>
      <c r="R26" s="7"/>
      <c r="S26" s="7"/>
      <c r="T26" s="7"/>
      <c r="U26" s="7"/>
      <c r="V26" s="7"/>
      <c r="W26" s="7"/>
      <c r="X26" s="7"/>
    </row>
    <row r="27" spans="1:24" x14ac:dyDescent="0.2">
      <c r="A27" s="7"/>
      <c r="B27" s="7"/>
      <c r="C27" s="7"/>
      <c r="D27" s="7"/>
      <c r="E27" s="7"/>
      <c r="F27" s="7"/>
      <c r="G27" s="7"/>
      <c r="H27" s="7"/>
      <c r="I27" s="424"/>
      <c r="J27" s="7"/>
      <c r="K27" s="7"/>
      <c r="L27" s="7"/>
      <c r="M27" s="7"/>
      <c r="N27" s="7"/>
      <c r="O27" s="7"/>
      <c r="P27" s="7"/>
      <c r="Q27" s="7"/>
      <c r="R27" s="7"/>
      <c r="S27" s="7"/>
      <c r="T27" s="7"/>
      <c r="U27" s="7"/>
      <c r="V27" s="7"/>
      <c r="W27" s="7"/>
      <c r="X27" s="7"/>
    </row>
    <row r="28" spans="1:24" x14ac:dyDescent="0.2">
      <c r="A28" s="7"/>
      <c r="B28" s="7"/>
      <c r="C28" s="7"/>
      <c r="D28" s="7"/>
      <c r="E28" s="7"/>
      <c r="F28" s="7"/>
      <c r="G28" s="7"/>
      <c r="H28" s="7"/>
      <c r="I28" s="424"/>
      <c r="J28" s="7"/>
      <c r="K28" s="7"/>
      <c r="L28" s="7"/>
      <c r="M28" s="7"/>
      <c r="N28" s="7"/>
      <c r="O28" s="7"/>
      <c r="P28" s="7"/>
      <c r="Q28" s="7"/>
      <c r="R28" s="7"/>
      <c r="S28" s="7"/>
      <c r="T28" s="7"/>
      <c r="U28" s="7"/>
      <c r="V28" s="7"/>
      <c r="W28" s="7"/>
      <c r="X28" s="7"/>
    </row>
    <row r="29" spans="1:24" ht="18.75" x14ac:dyDescent="0.2">
      <c r="A29" s="10"/>
      <c r="B29" s="9"/>
      <c r="C29" s="8"/>
      <c r="D29" s="8"/>
      <c r="E29" s="8"/>
      <c r="F29" s="8"/>
      <c r="G29" s="8"/>
      <c r="H29" s="8"/>
      <c r="I29" s="425"/>
      <c r="J29" s="8"/>
      <c r="K29" s="8"/>
      <c r="L29" s="8"/>
      <c r="M29" s="8"/>
      <c r="N29" s="8"/>
      <c r="O29" s="8"/>
      <c r="P29" s="8"/>
      <c r="Q29" s="8"/>
      <c r="R29" s="8"/>
      <c r="S29" s="8"/>
      <c r="T29" s="8"/>
      <c r="U29" s="8"/>
      <c r="V29" s="8"/>
      <c r="W29" s="8"/>
      <c r="X29" s="8"/>
    </row>
    <row r="30" spans="1:24" ht="18.75" x14ac:dyDescent="0.2">
      <c r="A30" s="10"/>
      <c r="B30" s="9"/>
      <c r="C30" s="8"/>
      <c r="D30" s="8"/>
      <c r="E30" s="8"/>
      <c r="F30" s="8"/>
      <c r="G30" s="8"/>
      <c r="H30" s="8"/>
      <c r="I30" s="425"/>
      <c r="J30" s="8"/>
      <c r="K30" s="8"/>
      <c r="L30" s="8"/>
      <c r="M30" s="8"/>
      <c r="N30" s="8"/>
      <c r="O30" s="8"/>
      <c r="P30" s="8"/>
      <c r="Q30" s="8"/>
      <c r="R30" s="8"/>
      <c r="S30" s="8"/>
      <c r="T30" s="8"/>
      <c r="U30" s="8"/>
      <c r="V30" s="8"/>
      <c r="W30" s="8"/>
      <c r="X30" s="8"/>
    </row>
    <row r="31" spans="1:24" ht="18.75" x14ac:dyDescent="0.2">
      <c r="A31" s="10"/>
      <c r="B31" s="9"/>
      <c r="C31" s="8"/>
      <c r="D31" s="8"/>
      <c r="E31" s="8"/>
      <c r="F31" s="8"/>
      <c r="G31" s="8"/>
      <c r="H31" s="8"/>
      <c r="I31" s="425"/>
      <c r="J31" s="8"/>
      <c r="K31" s="8"/>
      <c r="L31" s="8"/>
      <c r="M31" s="8"/>
      <c r="N31" s="8"/>
      <c r="O31" s="8"/>
      <c r="P31" s="8"/>
      <c r="Q31" s="8"/>
      <c r="R31" s="8"/>
      <c r="S31" s="8"/>
      <c r="T31" s="8"/>
      <c r="U31" s="8"/>
      <c r="V31" s="8"/>
      <c r="W31" s="8"/>
      <c r="X31" s="8"/>
    </row>
    <row r="32" spans="1:24" ht="18.75" x14ac:dyDescent="0.2">
      <c r="A32" s="10"/>
      <c r="B32" s="9"/>
      <c r="C32" s="8"/>
      <c r="D32" s="8"/>
      <c r="E32" s="8"/>
      <c r="F32" s="8"/>
      <c r="G32" s="8"/>
      <c r="H32" s="8"/>
      <c r="I32" s="425"/>
      <c r="J32" s="8"/>
      <c r="K32" s="8"/>
      <c r="L32" s="8"/>
      <c r="M32" s="8"/>
      <c r="N32" s="8"/>
      <c r="O32" s="8"/>
      <c r="P32" s="8"/>
      <c r="Q32" s="8"/>
      <c r="R32" s="8"/>
      <c r="S32" s="8"/>
      <c r="T32" s="8"/>
      <c r="U32" s="8"/>
      <c r="V32" s="8"/>
      <c r="W32" s="8"/>
      <c r="X32" s="8"/>
    </row>
    <row r="33" spans="1:24" ht="18.75" x14ac:dyDescent="0.2">
      <c r="A33" s="10"/>
      <c r="B33" s="9"/>
      <c r="C33" s="8"/>
      <c r="D33" s="8"/>
      <c r="E33" s="8"/>
      <c r="F33" s="8"/>
      <c r="G33" s="8"/>
      <c r="H33" s="8"/>
      <c r="I33" s="425"/>
      <c r="J33" s="8"/>
      <c r="K33" s="8"/>
      <c r="L33" s="8"/>
      <c r="M33" s="8"/>
      <c r="N33" s="8"/>
      <c r="O33" s="8"/>
      <c r="P33" s="8"/>
      <c r="Q33" s="8"/>
      <c r="R33" s="8"/>
      <c r="S33" s="8"/>
      <c r="T33" s="8"/>
      <c r="U33" s="8"/>
      <c r="V33" s="8"/>
      <c r="W33" s="8"/>
      <c r="X33" s="8"/>
    </row>
    <row r="34" spans="1:24" ht="18.75" x14ac:dyDescent="0.2">
      <c r="A34" s="10"/>
      <c r="B34" s="9"/>
      <c r="C34" s="8"/>
      <c r="D34" s="8"/>
      <c r="E34" s="8"/>
      <c r="F34" s="8"/>
      <c r="G34" s="8"/>
      <c r="H34" s="8"/>
      <c r="I34" s="425"/>
      <c r="J34" s="8"/>
      <c r="K34" s="8"/>
      <c r="L34" s="8"/>
      <c r="M34" s="8"/>
      <c r="N34" s="8"/>
      <c r="O34" s="8"/>
      <c r="P34" s="8"/>
      <c r="Q34" s="8"/>
      <c r="R34" s="8"/>
      <c r="S34" s="8"/>
      <c r="T34" s="8"/>
      <c r="U34" s="8"/>
      <c r="V34" s="8"/>
      <c r="W34" s="8"/>
      <c r="X34" s="8"/>
    </row>
  </sheetData>
  <sheetProtection formatColumns="0" formatRows="0"/>
  <mergeCells count="3">
    <mergeCell ref="A26:G26"/>
    <mergeCell ref="A24:B24"/>
    <mergeCell ref="A25:E25"/>
  </mergeCells>
  <pageMargins left="0.23622047244094491" right="0.23622047244094491" top="0.74803149606299213" bottom="0.74803149606299213" header="0.31496062992125984" footer="0.31496062992125984"/>
  <pageSetup paperSize="9" scale="27" fitToHeight="0" orientation="landscape" verticalDpi="90" r:id="rId1"/>
  <headerFooter>
    <oddHeader>&amp;C&amp;"Times New Roman,Bold"&amp;14Peļņas vai 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B94"/>
  <sheetViews>
    <sheetView view="pageBreakPreview" topLeftCell="L1" zoomScale="80" zoomScaleNormal="85" zoomScaleSheetLayoutView="80" workbookViewId="0">
      <pane ySplit="1" topLeftCell="A2" activePane="bottomLeft" state="frozen"/>
      <selection pane="bottomLeft" activeCell="W2" sqref="W2"/>
    </sheetView>
  </sheetViews>
  <sheetFormatPr defaultColWidth="9.140625" defaultRowHeight="15.75" outlineLevelCol="1" x14ac:dyDescent="0.2"/>
  <cols>
    <col min="1" max="1" width="8.42578125" style="33" bestFit="1" customWidth="1"/>
    <col min="2" max="2" width="45.28515625" style="33" customWidth="1"/>
    <col min="3" max="5" width="17.7109375" style="42" customWidth="1"/>
    <col min="6" max="6" width="17.7109375" style="42" customWidth="1" outlineLevel="1"/>
    <col min="7" max="8" width="17.7109375" style="55" customWidth="1" outlineLevel="1"/>
    <col min="9" max="9" width="43.28515625" style="42" customWidth="1" outlineLevel="1"/>
    <col min="10" max="10" width="17.7109375" style="42" customWidth="1"/>
    <col min="11" max="11" width="17.7109375" style="42" customWidth="1" outlineLevel="1"/>
    <col min="12" max="13" width="17.7109375" style="55" customWidth="1" outlineLevel="1"/>
    <col min="14" max="14" width="43.28515625" style="42" customWidth="1" outlineLevel="1"/>
    <col min="15" max="15" width="17.7109375" style="42" customWidth="1"/>
    <col min="16" max="16" width="17.7109375" style="42" customWidth="1" outlineLevel="1"/>
    <col min="17" max="18" width="17.7109375" style="55" customWidth="1" outlineLevel="1"/>
    <col min="19" max="19" width="43.28515625" style="42" customWidth="1" outlineLevel="1"/>
    <col min="20" max="20" width="19.5703125" style="42" customWidth="1"/>
    <col min="21" max="21" width="17.7109375" style="42" customWidth="1" outlineLevel="1"/>
    <col min="22" max="23" width="17.7109375" style="55" customWidth="1" outlineLevel="1"/>
    <col min="24" max="24" width="43.28515625" style="42" customWidth="1" outlineLevel="1"/>
    <col min="25" max="16384" width="9.140625" style="42"/>
  </cols>
  <sheetData>
    <row r="1" spans="1:28" s="33" customFormat="1" ht="63" x14ac:dyDescent="0.2">
      <c r="A1" s="24" t="s">
        <v>0</v>
      </c>
      <c r="B1" s="32" t="s">
        <v>511</v>
      </c>
      <c r="C1" s="25" t="s">
        <v>567</v>
      </c>
      <c r="D1" s="25" t="s">
        <v>568</v>
      </c>
      <c r="E1" s="25" t="s">
        <v>569</v>
      </c>
      <c r="F1" s="25" t="s">
        <v>574</v>
      </c>
      <c r="G1" s="26" t="s">
        <v>572</v>
      </c>
      <c r="H1" s="27" t="s">
        <v>573</v>
      </c>
      <c r="I1" s="25" t="s">
        <v>509</v>
      </c>
      <c r="J1" s="25" t="s">
        <v>570</v>
      </c>
      <c r="K1" s="25" t="s">
        <v>571</v>
      </c>
      <c r="L1" s="26" t="s">
        <v>404</v>
      </c>
      <c r="M1" s="27" t="s">
        <v>405</v>
      </c>
      <c r="N1" s="25" t="s">
        <v>509</v>
      </c>
      <c r="O1" s="25" t="s">
        <v>575</v>
      </c>
      <c r="P1" s="25" t="s">
        <v>576</v>
      </c>
      <c r="Q1" s="26" t="s">
        <v>572</v>
      </c>
      <c r="R1" s="27" t="s">
        <v>573</v>
      </c>
      <c r="S1" s="25" t="s">
        <v>509</v>
      </c>
      <c r="T1" s="25" t="s">
        <v>577</v>
      </c>
      <c r="U1" s="25" t="s">
        <v>578</v>
      </c>
      <c r="V1" s="26" t="s">
        <v>572</v>
      </c>
      <c r="W1" s="27" t="s">
        <v>573</v>
      </c>
      <c r="X1" s="25" t="s">
        <v>509</v>
      </c>
    </row>
    <row r="2" spans="1:28" s="33" customFormat="1" ht="12" customHeight="1" x14ac:dyDescent="0.2">
      <c r="A2" s="34">
        <v>1</v>
      </c>
      <c r="B2" s="25">
        <v>2</v>
      </c>
      <c r="C2" s="25">
        <v>3</v>
      </c>
      <c r="D2" s="25">
        <v>4</v>
      </c>
      <c r="E2" s="25">
        <v>5</v>
      </c>
      <c r="F2" s="25">
        <v>6</v>
      </c>
      <c r="G2" s="26">
        <v>7</v>
      </c>
      <c r="H2" s="28">
        <v>8</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8" s="33" customFormat="1" x14ac:dyDescent="0.2">
      <c r="A3" s="354">
        <v>1000</v>
      </c>
      <c r="B3" s="323" t="s">
        <v>316</v>
      </c>
      <c r="C3" s="337">
        <f>C4+C11</f>
        <v>13125602</v>
      </c>
      <c r="D3" s="337">
        <f>D4+D11</f>
        <v>12601944</v>
      </c>
      <c r="E3" s="337">
        <f>E4+E11+E21</f>
        <v>12998926</v>
      </c>
      <c r="F3" s="337">
        <f t="shared" ref="F3" si="0">F4+F11</f>
        <v>12999086</v>
      </c>
      <c r="G3" s="338">
        <f t="shared" ref="G3:G20" si="1">F3-E3</f>
        <v>160</v>
      </c>
      <c r="H3" s="339">
        <f t="shared" ref="H3:H47" si="2">IFERROR(G3/ABS(E3), "-")</f>
        <v>1.2308709196436691E-5</v>
      </c>
      <c r="I3" s="469"/>
      <c r="J3" s="337">
        <f>J4+J11+J21</f>
        <v>12863265</v>
      </c>
      <c r="K3" s="337">
        <f>K4+K11+K21</f>
        <v>12864566</v>
      </c>
      <c r="L3" s="338">
        <f t="shared" ref="L3:L20" si="3">K3-J3</f>
        <v>1301</v>
      </c>
      <c r="M3" s="339">
        <f t="shared" ref="M3:M47" si="4">IFERROR(L3/ABS(J3), "-")</f>
        <v>1.0114072904507526E-4</v>
      </c>
      <c r="N3" s="340"/>
      <c r="O3" s="337">
        <f>O4+O11+O21</f>
        <v>12907231</v>
      </c>
      <c r="P3" s="337">
        <f>P4+P11+P21</f>
        <v>12849678</v>
      </c>
      <c r="Q3" s="338">
        <f t="shared" ref="Q3:Q20" si="5">P3-O3</f>
        <v>-57553</v>
      </c>
      <c r="R3" s="339">
        <f t="shared" ref="R3:R43" si="6">IFERROR(Q3/ABS(O3), "-")</f>
        <v>-4.4589734235019112E-3</v>
      </c>
      <c r="S3" s="340"/>
      <c r="T3" s="337">
        <f>T4+T11+T21</f>
        <v>12601944</v>
      </c>
      <c r="U3" s="337">
        <f>U4+U11+U21</f>
        <v>12710924</v>
      </c>
      <c r="V3" s="338">
        <f t="shared" ref="V3:V47" si="7">U3-T3</f>
        <v>108980</v>
      </c>
      <c r="W3" s="339">
        <f t="shared" ref="W3:W47" si="8">IFERROR(V3/ABS(T3), "-")</f>
        <v>8.6478721060814102E-3</v>
      </c>
      <c r="X3" s="340"/>
    </row>
    <row r="4" spans="1:28" s="33" customFormat="1" ht="15.75" customHeight="1" x14ac:dyDescent="0.2">
      <c r="A4" s="185">
        <v>1100</v>
      </c>
      <c r="B4" s="57" t="s">
        <v>317</v>
      </c>
      <c r="C4" s="36">
        <f>C5+C6+C7+C8+C9+C10</f>
        <v>65674</v>
      </c>
      <c r="D4" s="36">
        <f>D5+D6+D7+D8+D9+D10</f>
        <v>43167</v>
      </c>
      <c r="E4" s="36">
        <f t="shared" ref="E4" si="9">E5+E6+E7+E8+E9</f>
        <v>60047</v>
      </c>
      <c r="F4" s="36">
        <f>F5+F6+F7+F8+F9</f>
        <v>60047</v>
      </c>
      <c r="G4" s="37">
        <f t="shared" si="1"/>
        <v>0</v>
      </c>
      <c r="H4" s="30">
        <f t="shared" si="2"/>
        <v>0</v>
      </c>
      <c r="I4" s="623"/>
      <c r="J4" s="36">
        <f t="shared" ref="J4" si="10">J5+J6+J7+J8+J9</f>
        <v>54420</v>
      </c>
      <c r="K4" s="36">
        <f>K5+K6+K7+K8+K9</f>
        <v>54420</v>
      </c>
      <c r="L4" s="37">
        <f t="shared" si="3"/>
        <v>0</v>
      </c>
      <c r="M4" s="30">
        <f t="shared" si="4"/>
        <v>0</v>
      </c>
      <c r="N4" s="606"/>
      <c r="O4" s="36">
        <f t="shared" ref="O4" si="11">O5+O6+O7+O8+O9</f>
        <v>48794</v>
      </c>
      <c r="P4" s="36">
        <f>P5+P6+P7+P8+P9</f>
        <v>48793</v>
      </c>
      <c r="Q4" s="37">
        <f>P4-O4</f>
        <v>-1</v>
      </c>
      <c r="R4" s="30">
        <f t="shared" si="6"/>
        <v>-2.0494323072508915E-5</v>
      </c>
      <c r="S4" s="606"/>
      <c r="T4" s="36">
        <f t="shared" ref="T4" si="12">T5+T6+T7+T8+T9</f>
        <v>43167</v>
      </c>
      <c r="U4" s="36">
        <f>U5+U6+U7+U8+U9</f>
        <v>78797</v>
      </c>
      <c r="V4" s="37">
        <f t="shared" si="7"/>
        <v>35630</v>
      </c>
      <c r="W4" s="30">
        <f t="shared" si="8"/>
        <v>0.82539903166770912</v>
      </c>
      <c r="X4" s="618" t="s">
        <v>725</v>
      </c>
    </row>
    <row r="5" spans="1:28" x14ac:dyDescent="0.2">
      <c r="A5" s="293">
        <v>1110</v>
      </c>
      <c r="B5" s="39" t="s">
        <v>420</v>
      </c>
      <c r="C5" s="45"/>
      <c r="D5" s="45"/>
      <c r="E5" s="45"/>
      <c r="F5" s="45"/>
      <c r="G5" s="46">
        <f t="shared" si="1"/>
        <v>0</v>
      </c>
      <c r="H5" s="47" t="str">
        <f t="shared" si="2"/>
        <v>-</v>
      </c>
      <c r="I5" s="624"/>
      <c r="J5" s="45"/>
      <c r="K5" s="45"/>
      <c r="L5" s="46">
        <f t="shared" si="3"/>
        <v>0</v>
      </c>
      <c r="M5" s="47" t="str">
        <f t="shared" si="4"/>
        <v>-</v>
      </c>
      <c r="N5" s="607"/>
      <c r="O5" s="45"/>
      <c r="P5" s="45"/>
      <c r="Q5" s="46">
        <f t="shared" si="5"/>
        <v>0</v>
      </c>
      <c r="R5" s="47" t="str">
        <f t="shared" si="6"/>
        <v>-</v>
      </c>
      <c r="S5" s="607"/>
      <c r="T5" s="45"/>
      <c r="U5" s="45"/>
      <c r="V5" s="46">
        <f t="shared" si="7"/>
        <v>0</v>
      </c>
      <c r="W5" s="47" t="str">
        <f t="shared" si="8"/>
        <v>-</v>
      </c>
      <c r="X5" s="619"/>
    </row>
    <row r="6" spans="1:28" ht="31.5" x14ac:dyDescent="0.2">
      <c r="A6" s="293">
        <v>1120</v>
      </c>
      <c r="B6" s="39" t="s">
        <v>421</v>
      </c>
      <c r="C6" s="45">
        <v>65674</v>
      </c>
      <c r="D6" s="45">
        <v>43167</v>
      </c>
      <c r="E6" s="45">
        <v>60047</v>
      </c>
      <c r="F6" s="45">
        <v>60047</v>
      </c>
      <c r="G6" s="46">
        <f t="shared" si="1"/>
        <v>0</v>
      </c>
      <c r="H6" s="47">
        <f t="shared" si="2"/>
        <v>0</v>
      </c>
      <c r="I6" s="624"/>
      <c r="J6" s="45">
        <v>54420</v>
      </c>
      <c r="K6" s="45">
        <v>54420</v>
      </c>
      <c r="L6" s="46">
        <f t="shared" si="3"/>
        <v>0</v>
      </c>
      <c r="M6" s="47">
        <f t="shared" si="4"/>
        <v>0</v>
      </c>
      <c r="N6" s="607"/>
      <c r="O6" s="45">
        <v>48794</v>
      </c>
      <c r="P6" s="45">
        <v>48793</v>
      </c>
      <c r="Q6" s="46">
        <f t="shared" si="5"/>
        <v>-1</v>
      </c>
      <c r="R6" s="47">
        <f t="shared" si="6"/>
        <v>-2.0494323072508915E-5</v>
      </c>
      <c r="S6" s="607"/>
      <c r="T6" s="45">
        <v>43167</v>
      </c>
      <c r="U6" s="45">
        <v>78797</v>
      </c>
      <c r="V6" s="46">
        <f t="shared" si="7"/>
        <v>35630</v>
      </c>
      <c r="W6" s="47">
        <f t="shared" si="8"/>
        <v>0.82539903166770912</v>
      </c>
      <c r="X6" s="619"/>
    </row>
    <row r="7" spans="1:28" x14ac:dyDescent="0.2">
      <c r="A7" s="293">
        <v>1130</v>
      </c>
      <c r="B7" s="39" t="s">
        <v>422</v>
      </c>
      <c r="C7" s="45"/>
      <c r="D7" s="45"/>
      <c r="E7" s="45"/>
      <c r="F7" s="45"/>
      <c r="G7" s="46">
        <f t="shared" si="1"/>
        <v>0</v>
      </c>
      <c r="H7" s="47" t="str">
        <f t="shared" si="2"/>
        <v>-</v>
      </c>
      <c r="I7" s="624"/>
      <c r="J7" s="45"/>
      <c r="K7" s="45"/>
      <c r="L7" s="46">
        <f t="shared" si="3"/>
        <v>0</v>
      </c>
      <c r="M7" s="47" t="str">
        <f t="shared" si="4"/>
        <v>-</v>
      </c>
      <c r="N7" s="607"/>
      <c r="O7" s="45"/>
      <c r="P7" s="45"/>
      <c r="Q7" s="46">
        <f t="shared" si="5"/>
        <v>0</v>
      </c>
      <c r="R7" s="47" t="str">
        <f t="shared" si="6"/>
        <v>-</v>
      </c>
      <c r="S7" s="607"/>
      <c r="T7" s="45"/>
      <c r="U7" s="45"/>
      <c r="V7" s="46">
        <f t="shared" si="7"/>
        <v>0</v>
      </c>
      <c r="W7" s="47" t="str">
        <f t="shared" si="8"/>
        <v>-</v>
      </c>
      <c r="X7" s="619"/>
    </row>
    <row r="8" spans="1:28" x14ac:dyDescent="0.2">
      <c r="A8" s="293">
        <v>1140</v>
      </c>
      <c r="B8" s="39" t="s">
        <v>423</v>
      </c>
      <c r="C8" s="45"/>
      <c r="D8" s="45"/>
      <c r="E8" s="45"/>
      <c r="F8" s="45"/>
      <c r="G8" s="46">
        <f t="shared" si="1"/>
        <v>0</v>
      </c>
      <c r="H8" s="47" t="str">
        <f t="shared" si="2"/>
        <v>-</v>
      </c>
      <c r="I8" s="624"/>
      <c r="J8" s="45"/>
      <c r="K8" s="45"/>
      <c r="L8" s="46">
        <f t="shared" si="3"/>
        <v>0</v>
      </c>
      <c r="M8" s="47" t="str">
        <f t="shared" si="4"/>
        <v>-</v>
      </c>
      <c r="N8" s="607"/>
      <c r="O8" s="45"/>
      <c r="P8" s="45"/>
      <c r="Q8" s="46">
        <f t="shared" si="5"/>
        <v>0</v>
      </c>
      <c r="R8" s="47" t="str">
        <f t="shared" si="6"/>
        <v>-</v>
      </c>
      <c r="S8" s="607"/>
      <c r="T8" s="45"/>
      <c r="U8" s="45"/>
      <c r="V8" s="46">
        <f t="shared" si="7"/>
        <v>0</v>
      </c>
      <c r="W8" s="47" t="str">
        <f t="shared" si="8"/>
        <v>-</v>
      </c>
      <c r="X8" s="619"/>
      <c r="AB8" s="528"/>
    </row>
    <row r="9" spans="1:28" ht="31.5" x14ac:dyDescent="0.2">
      <c r="A9" s="293">
        <v>1180</v>
      </c>
      <c r="B9" s="39" t="s">
        <v>424</v>
      </c>
      <c r="C9" s="45"/>
      <c r="D9" s="45"/>
      <c r="E9" s="45"/>
      <c r="F9" s="45"/>
      <c r="G9" s="46">
        <f>F9-E9</f>
        <v>0</v>
      </c>
      <c r="H9" s="47" t="str">
        <f t="shared" si="2"/>
        <v>-</v>
      </c>
      <c r="I9" s="624"/>
      <c r="J9" s="45"/>
      <c r="K9" s="45"/>
      <c r="L9" s="46">
        <f t="shared" si="3"/>
        <v>0</v>
      </c>
      <c r="M9" s="47" t="str">
        <f t="shared" si="4"/>
        <v>-</v>
      </c>
      <c r="N9" s="607"/>
      <c r="O9" s="45"/>
      <c r="P9" s="45"/>
      <c r="Q9" s="46">
        <f t="shared" si="5"/>
        <v>0</v>
      </c>
      <c r="R9" s="47" t="str">
        <f t="shared" si="6"/>
        <v>-</v>
      </c>
      <c r="S9" s="607"/>
      <c r="T9" s="45"/>
      <c r="U9" s="45"/>
      <c r="V9" s="46">
        <f>U9-T9</f>
        <v>0</v>
      </c>
      <c r="W9" s="47" t="str">
        <f>IFERROR(V9/ABS(T9), "-")</f>
        <v>-</v>
      </c>
      <c r="X9" s="619"/>
    </row>
    <row r="10" spans="1:28" ht="31.5" x14ac:dyDescent="0.2">
      <c r="A10" s="293">
        <v>1190</v>
      </c>
      <c r="B10" s="39" t="s">
        <v>534</v>
      </c>
      <c r="C10" s="45"/>
      <c r="D10" s="45"/>
      <c r="E10" s="45"/>
      <c r="F10" s="45"/>
      <c r="G10" s="46">
        <f>F10-E10</f>
        <v>0</v>
      </c>
      <c r="H10" s="47" t="str">
        <f t="shared" si="2"/>
        <v>-</v>
      </c>
      <c r="I10" s="625"/>
      <c r="J10" s="45"/>
      <c r="K10" s="45"/>
      <c r="L10" s="46">
        <f t="shared" si="3"/>
        <v>0</v>
      </c>
      <c r="M10" s="47" t="str">
        <f t="shared" si="4"/>
        <v>-</v>
      </c>
      <c r="N10" s="611"/>
      <c r="O10" s="45"/>
      <c r="P10" s="45"/>
      <c r="Q10" s="46">
        <f t="shared" si="5"/>
        <v>0</v>
      </c>
      <c r="R10" s="47" t="str">
        <f t="shared" si="6"/>
        <v>-</v>
      </c>
      <c r="S10" s="611"/>
      <c r="T10" s="45"/>
      <c r="U10" s="45"/>
      <c r="V10" s="46">
        <f>U10-T10</f>
        <v>0</v>
      </c>
      <c r="W10" s="47" t="str">
        <f>IFERROR(V10/ABS(T10), "-")</f>
        <v>-</v>
      </c>
      <c r="X10" s="620"/>
    </row>
    <row r="11" spans="1:28" s="33" customFormat="1" x14ac:dyDescent="0.2">
      <c r="A11" s="185">
        <v>1200</v>
      </c>
      <c r="B11" s="57" t="s">
        <v>318</v>
      </c>
      <c r="C11" s="36">
        <f>C12+C13+C14+C15+C16+C17+C18+C19+C20</f>
        <v>13059928</v>
      </c>
      <c r="D11" s="36">
        <f>D12+D13+D14+D15+D16+D17+D18+D19+D20</f>
        <v>12558777</v>
      </c>
      <c r="E11" s="36">
        <f>E12+E13+E14+E15+E16+E17+E18+E19+E20</f>
        <v>12938879</v>
      </c>
      <c r="F11" s="36">
        <f t="shared" ref="F11" si="13">F12+F13+F14+F15+F16+F17+F18+F19+F20</f>
        <v>12939039</v>
      </c>
      <c r="G11" s="343">
        <f t="shared" si="1"/>
        <v>160</v>
      </c>
      <c r="H11" s="30">
        <f t="shared" si="2"/>
        <v>1.2365831692220013E-5</v>
      </c>
      <c r="I11" s="623"/>
      <c r="J11" s="36">
        <f>J12+J13+J14+J15+J16+J17+J18+J19+J20</f>
        <v>12808845</v>
      </c>
      <c r="K11" s="36">
        <f t="shared" ref="K11" si="14">K12+K13+K14+K15+K16+K17+K18+K19+K20</f>
        <v>12810146</v>
      </c>
      <c r="L11" s="343">
        <f t="shared" si="3"/>
        <v>1301</v>
      </c>
      <c r="M11" s="30">
        <f t="shared" si="4"/>
        <v>1.0157043824013796E-4</v>
      </c>
      <c r="N11" s="606"/>
      <c r="O11" s="36">
        <f t="shared" ref="O11:P11" si="15">O12+O13+O14+O15+O16+O17+O18+O19+O20</f>
        <v>12858437</v>
      </c>
      <c r="P11" s="36">
        <f t="shared" si="15"/>
        <v>12800885</v>
      </c>
      <c r="Q11" s="343">
        <f t="shared" si="5"/>
        <v>-57552</v>
      </c>
      <c r="R11" s="30">
        <f t="shared" si="6"/>
        <v>-4.4758161509054328E-3</v>
      </c>
      <c r="S11" s="606"/>
      <c r="T11" s="36">
        <f t="shared" ref="T11:U11" si="16">T12+T13+T14+T15+T16+T17+T18+T19+T20</f>
        <v>12558777</v>
      </c>
      <c r="U11" s="36">
        <f t="shared" si="16"/>
        <v>12632127</v>
      </c>
      <c r="V11" s="37">
        <f t="shared" si="7"/>
        <v>73350</v>
      </c>
      <c r="W11" s="30">
        <f t="shared" si="8"/>
        <v>5.8405368611927737E-3</v>
      </c>
      <c r="X11" s="471"/>
    </row>
    <row r="12" spans="1:28" x14ac:dyDescent="0.2">
      <c r="A12" s="293">
        <v>1210</v>
      </c>
      <c r="B12" s="39" t="s">
        <v>536</v>
      </c>
      <c r="C12" s="45">
        <v>9543608</v>
      </c>
      <c r="D12" s="45">
        <v>9459103</v>
      </c>
      <c r="E12" s="470">
        <v>9543643</v>
      </c>
      <c r="F12" s="45">
        <v>9543643</v>
      </c>
      <c r="G12" s="46">
        <f t="shared" si="1"/>
        <v>0</v>
      </c>
      <c r="H12" s="47">
        <f t="shared" si="2"/>
        <v>0</v>
      </c>
      <c r="I12" s="624"/>
      <c r="J12" s="45">
        <v>9515463</v>
      </c>
      <c r="K12" s="45">
        <f>9524880-9417</f>
        <v>9515463</v>
      </c>
      <c r="L12" s="46">
        <f t="shared" si="3"/>
        <v>0</v>
      </c>
      <c r="M12" s="47">
        <f t="shared" si="4"/>
        <v>0</v>
      </c>
      <c r="N12" s="607"/>
      <c r="O12" s="40">
        <f>9515463-28180</f>
        <v>9487283</v>
      </c>
      <c r="P12" s="45">
        <v>9487284</v>
      </c>
      <c r="Q12" s="46">
        <f t="shared" si="5"/>
        <v>1</v>
      </c>
      <c r="R12" s="47">
        <f t="shared" si="6"/>
        <v>1.0540425535951652E-7</v>
      </c>
      <c r="S12" s="607"/>
      <c r="T12" s="40">
        <f>9515463-28180-28180</f>
        <v>9459103</v>
      </c>
      <c r="U12" s="45">
        <f>9468522-9126</f>
        <v>9459396</v>
      </c>
      <c r="V12" s="46">
        <f t="shared" si="7"/>
        <v>293</v>
      </c>
      <c r="W12" s="47">
        <f t="shared" si="8"/>
        <v>3.0975452957854459E-5</v>
      </c>
      <c r="X12" s="557"/>
    </row>
    <row r="13" spans="1:28" x14ac:dyDescent="0.2">
      <c r="A13" s="293">
        <v>1220</v>
      </c>
      <c r="B13" s="39" t="s">
        <v>535</v>
      </c>
      <c r="C13" s="45">
        <v>2189496</v>
      </c>
      <c r="D13" s="45">
        <v>2005136</v>
      </c>
      <c r="E13" s="45">
        <v>2114767</v>
      </c>
      <c r="F13" s="45">
        <v>2114767</v>
      </c>
      <c r="G13" s="46">
        <f t="shared" si="1"/>
        <v>0</v>
      </c>
      <c r="H13" s="47">
        <f t="shared" si="2"/>
        <v>0</v>
      </c>
      <c r="I13" s="624"/>
      <c r="J13" s="45">
        <v>2074890</v>
      </c>
      <c r="K13" s="45">
        <f>2074890+1301</f>
        <v>2076191</v>
      </c>
      <c r="L13" s="46">
        <f t="shared" si="3"/>
        <v>1301</v>
      </c>
      <c r="M13" s="47">
        <f t="shared" si="4"/>
        <v>6.2702119148484985E-4</v>
      </c>
      <c r="N13" s="607"/>
      <c r="O13" s="40">
        <f>2074890-39877+179626</f>
        <v>2214639</v>
      </c>
      <c r="P13" s="45">
        <f>2019706+1009</f>
        <v>2020715</v>
      </c>
      <c r="Q13" s="46">
        <f t="shared" si="5"/>
        <v>-193924</v>
      </c>
      <c r="R13" s="47">
        <f t="shared" si="6"/>
        <v>-8.7564609852892508E-2</v>
      </c>
      <c r="S13" s="607"/>
      <c r="T13" s="40">
        <f>2074890-39877-39877+10000</f>
        <v>2005136</v>
      </c>
      <c r="U13" s="45">
        <v>1928596</v>
      </c>
      <c r="V13" s="46">
        <f t="shared" si="7"/>
        <v>-76540</v>
      </c>
      <c r="W13" s="47">
        <f t="shared" si="8"/>
        <v>-3.8171974369818305E-2</v>
      </c>
      <c r="X13" s="471"/>
    </row>
    <row r="14" spans="1:28" x14ac:dyDescent="0.2">
      <c r="A14" s="293">
        <v>1230</v>
      </c>
      <c r="B14" s="39" t="s">
        <v>537</v>
      </c>
      <c r="C14" s="45">
        <v>1325220</v>
      </c>
      <c r="D14" s="45">
        <v>1086098</v>
      </c>
      <c r="E14" s="45">
        <v>1272029</v>
      </c>
      <c r="F14" s="45">
        <f>1272029+160</f>
        <v>1272189</v>
      </c>
      <c r="G14" s="46">
        <f t="shared" si="1"/>
        <v>160</v>
      </c>
      <c r="H14" s="47">
        <f t="shared" si="2"/>
        <v>1.2578329582108583E-4</v>
      </c>
      <c r="I14" s="624"/>
      <c r="J14" s="45">
        <v>1210052</v>
      </c>
      <c r="K14" s="45">
        <v>1210052</v>
      </c>
      <c r="L14" s="46">
        <f t="shared" si="3"/>
        <v>0</v>
      </c>
      <c r="M14" s="47">
        <f t="shared" si="4"/>
        <v>0</v>
      </c>
      <c r="N14" s="607"/>
      <c r="O14" s="40">
        <f>1210052-61977</f>
        <v>1148075</v>
      </c>
      <c r="P14" s="45">
        <v>1283356</v>
      </c>
      <c r="Q14" s="46">
        <f t="shared" si="5"/>
        <v>135281</v>
      </c>
      <c r="R14" s="47">
        <f t="shared" si="6"/>
        <v>0.11783289419245259</v>
      </c>
      <c r="S14" s="607"/>
      <c r="T14" s="40">
        <f>1210052-61977-61977</f>
        <v>1086098</v>
      </c>
      <c r="U14" s="45">
        <v>1234606</v>
      </c>
      <c r="V14" s="46">
        <f t="shared" si="7"/>
        <v>148508</v>
      </c>
      <c r="W14" s="47">
        <f t="shared" si="8"/>
        <v>0.13673535905599679</v>
      </c>
      <c r="X14" s="471"/>
    </row>
    <row r="15" spans="1:28" ht="15.6" customHeight="1" x14ac:dyDescent="0.2">
      <c r="A15" s="293">
        <v>1240</v>
      </c>
      <c r="B15" s="39" t="s">
        <v>538</v>
      </c>
      <c r="C15" s="45">
        <v>1604</v>
      </c>
      <c r="D15" s="45">
        <v>8440</v>
      </c>
      <c r="E15" s="45">
        <v>8440</v>
      </c>
      <c r="F15" s="45">
        <v>8440</v>
      </c>
      <c r="G15" s="46">
        <f t="shared" si="1"/>
        <v>0</v>
      </c>
      <c r="H15" s="47">
        <f t="shared" si="2"/>
        <v>0</v>
      </c>
      <c r="I15" s="624"/>
      <c r="J15" s="45">
        <v>8440</v>
      </c>
      <c r="K15" s="45">
        <v>8440</v>
      </c>
      <c r="L15" s="46">
        <f t="shared" si="3"/>
        <v>0</v>
      </c>
      <c r="M15" s="47">
        <f t="shared" si="4"/>
        <v>0</v>
      </c>
      <c r="N15" s="607"/>
      <c r="O15" s="40">
        <v>8440</v>
      </c>
      <c r="P15" s="45">
        <v>9530</v>
      </c>
      <c r="Q15" s="46">
        <f t="shared" si="5"/>
        <v>1090</v>
      </c>
      <c r="R15" s="47">
        <f t="shared" si="6"/>
        <v>0.12914691943127962</v>
      </c>
      <c r="S15" s="607"/>
      <c r="T15" s="40">
        <v>8440</v>
      </c>
      <c r="U15" s="45">
        <v>9529</v>
      </c>
      <c r="V15" s="46">
        <f t="shared" si="7"/>
        <v>1089</v>
      </c>
      <c r="W15" s="47">
        <f t="shared" si="8"/>
        <v>0.12902843601895736</v>
      </c>
      <c r="X15" s="471"/>
    </row>
    <row r="16" spans="1:28" x14ac:dyDescent="0.2">
      <c r="A16" s="293">
        <v>1250</v>
      </c>
      <c r="B16" s="39" t="s">
        <v>539</v>
      </c>
      <c r="C16" s="45"/>
      <c r="D16" s="45"/>
      <c r="E16" s="45"/>
      <c r="F16" s="45"/>
      <c r="G16" s="46">
        <f t="shared" si="1"/>
        <v>0</v>
      </c>
      <c r="H16" s="47" t="str">
        <f t="shared" si="2"/>
        <v>-</v>
      </c>
      <c r="I16" s="624"/>
      <c r="J16" s="45"/>
      <c r="K16" s="45"/>
      <c r="L16" s="46">
        <f t="shared" si="3"/>
        <v>0</v>
      </c>
      <c r="M16" s="47" t="str">
        <f t="shared" si="4"/>
        <v>-</v>
      </c>
      <c r="N16" s="607"/>
      <c r="O16" s="45"/>
      <c r="P16" s="45"/>
      <c r="Q16" s="46">
        <f t="shared" si="5"/>
        <v>0</v>
      </c>
      <c r="R16" s="47" t="str">
        <f t="shared" si="6"/>
        <v>-</v>
      </c>
      <c r="S16" s="607"/>
      <c r="T16" s="45"/>
      <c r="U16" s="45"/>
      <c r="V16" s="46">
        <f t="shared" si="7"/>
        <v>0</v>
      </c>
      <c r="W16" s="47" t="str">
        <f t="shared" si="8"/>
        <v>-</v>
      </c>
      <c r="X16" s="471"/>
    </row>
    <row r="17" spans="1:26" x14ac:dyDescent="0.2">
      <c r="A17" s="293">
        <v>1260</v>
      </c>
      <c r="B17" s="39" t="s">
        <v>540</v>
      </c>
      <c r="C17" s="45"/>
      <c r="D17" s="45"/>
      <c r="E17" s="45"/>
      <c r="F17" s="45"/>
      <c r="G17" s="46">
        <f t="shared" si="1"/>
        <v>0</v>
      </c>
      <c r="H17" s="47" t="str">
        <f t="shared" si="2"/>
        <v>-</v>
      </c>
      <c r="I17" s="624"/>
      <c r="J17" s="45"/>
      <c r="K17" s="45"/>
      <c r="L17" s="46">
        <f t="shared" si="3"/>
        <v>0</v>
      </c>
      <c r="M17" s="47" t="str">
        <f t="shared" si="4"/>
        <v>-</v>
      </c>
      <c r="N17" s="607"/>
      <c r="O17" s="45"/>
      <c r="P17" s="45"/>
      <c r="Q17" s="46">
        <f t="shared" si="5"/>
        <v>0</v>
      </c>
      <c r="R17" s="47" t="str">
        <f t="shared" si="6"/>
        <v>-</v>
      </c>
      <c r="S17" s="607"/>
      <c r="T17" s="45"/>
      <c r="U17" s="45"/>
      <c r="V17" s="46">
        <f t="shared" si="7"/>
        <v>0</v>
      </c>
      <c r="W17" s="47" t="str">
        <f t="shared" si="8"/>
        <v>-</v>
      </c>
      <c r="X17" s="471"/>
      <c r="Z17" s="528"/>
    </row>
    <row r="18" spans="1:26" x14ac:dyDescent="0.2">
      <c r="A18" s="293">
        <v>1270</v>
      </c>
      <c r="B18" s="39" t="s">
        <v>425</v>
      </c>
      <c r="C18" s="45"/>
      <c r="D18" s="45"/>
      <c r="E18" s="45"/>
      <c r="F18" s="45"/>
      <c r="G18" s="46">
        <f t="shared" si="1"/>
        <v>0</v>
      </c>
      <c r="H18" s="47" t="str">
        <f t="shared" si="2"/>
        <v>-</v>
      </c>
      <c r="I18" s="624"/>
      <c r="J18" s="45"/>
      <c r="K18" s="45"/>
      <c r="L18" s="46">
        <f t="shared" si="3"/>
        <v>0</v>
      </c>
      <c r="M18" s="47" t="str">
        <f t="shared" si="4"/>
        <v>-</v>
      </c>
      <c r="N18" s="607"/>
      <c r="O18" s="45"/>
      <c r="P18" s="45"/>
      <c r="Q18" s="46">
        <f t="shared" si="5"/>
        <v>0</v>
      </c>
      <c r="R18" s="47" t="str">
        <f t="shared" si="6"/>
        <v>-</v>
      </c>
      <c r="S18" s="607"/>
      <c r="T18" s="45"/>
      <c r="U18" s="45"/>
      <c r="V18" s="46">
        <f t="shared" si="7"/>
        <v>0</v>
      </c>
      <c r="W18" s="47" t="str">
        <f t="shared" si="8"/>
        <v>-</v>
      </c>
      <c r="X18" s="471"/>
      <c r="Z18" s="528"/>
    </row>
    <row r="19" spans="1:26" x14ac:dyDescent="0.2">
      <c r="A19" s="293">
        <v>1280</v>
      </c>
      <c r="B19" s="39" t="s">
        <v>319</v>
      </c>
      <c r="C19" s="45"/>
      <c r="D19" s="45"/>
      <c r="E19" s="45"/>
      <c r="F19" s="45"/>
      <c r="G19" s="46">
        <f t="shared" si="1"/>
        <v>0</v>
      </c>
      <c r="H19" s="47" t="str">
        <f t="shared" si="2"/>
        <v>-</v>
      </c>
      <c r="I19" s="624"/>
      <c r="J19" s="45"/>
      <c r="K19" s="45"/>
      <c r="L19" s="46">
        <f t="shared" si="3"/>
        <v>0</v>
      </c>
      <c r="M19" s="47" t="str">
        <f t="shared" si="4"/>
        <v>-</v>
      </c>
      <c r="N19" s="607"/>
      <c r="O19" s="45"/>
      <c r="P19" s="45"/>
      <c r="Q19" s="46">
        <f t="shared" si="5"/>
        <v>0</v>
      </c>
      <c r="R19" s="47" t="str">
        <f t="shared" si="6"/>
        <v>-</v>
      </c>
      <c r="S19" s="607"/>
      <c r="T19" s="45"/>
      <c r="U19" s="45"/>
      <c r="V19" s="46">
        <f t="shared" si="7"/>
        <v>0</v>
      </c>
      <c r="W19" s="47" t="str">
        <f t="shared" si="8"/>
        <v>-</v>
      </c>
      <c r="X19" s="471"/>
      <c r="Z19" s="528"/>
    </row>
    <row r="20" spans="1:26" ht="31.5" x14ac:dyDescent="0.2">
      <c r="A20" s="293">
        <v>1290</v>
      </c>
      <c r="B20" s="39" t="s">
        <v>541</v>
      </c>
      <c r="C20" s="45"/>
      <c r="D20" s="45"/>
      <c r="E20" s="45"/>
      <c r="F20" s="45"/>
      <c r="G20" s="46">
        <f t="shared" si="1"/>
        <v>0</v>
      </c>
      <c r="H20" s="47" t="str">
        <f t="shared" si="2"/>
        <v>-</v>
      </c>
      <c r="I20" s="624"/>
      <c r="J20" s="45"/>
      <c r="K20" s="45"/>
      <c r="L20" s="46">
        <f t="shared" si="3"/>
        <v>0</v>
      </c>
      <c r="M20" s="47" t="str">
        <f t="shared" si="4"/>
        <v>-</v>
      </c>
      <c r="N20" s="607"/>
      <c r="O20" s="45"/>
      <c r="P20" s="45"/>
      <c r="Q20" s="46">
        <f t="shared" si="5"/>
        <v>0</v>
      </c>
      <c r="R20" s="47" t="str">
        <f t="shared" si="6"/>
        <v>-</v>
      </c>
      <c r="S20" s="607"/>
      <c r="T20" s="45"/>
      <c r="U20" s="45"/>
      <c r="V20" s="46">
        <f t="shared" si="7"/>
        <v>0</v>
      </c>
      <c r="W20" s="47" t="str">
        <f t="shared" si="8"/>
        <v>-</v>
      </c>
      <c r="X20" s="471"/>
      <c r="Z20" s="528"/>
    </row>
    <row r="21" spans="1:26" s="351" customFormat="1" ht="15.6" customHeight="1" x14ac:dyDescent="0.2">
      <c r="A21" s="185">
        <v>1300</v>
      </c>
      <c r="B21" s="57" t="s">
        <v>320</v>
      </c>
      <c r="C21" s="36">
        <v>0</v>
      </c>
      <c r="D21" s="36">
        <v>0</v>
      </c>
      <c r="E21" s="36">
        <v>0</v>
      </c>
      <c r="F21" s="36">
        <v>0</v>
      </c>
      <c r="G21" s="37">
        <v>0</v>
      </c>
      <c r="H21" s="362" t="str">
        <f t="shared" si="2"/>
        <v>-</v>
      </c>
      <c r="I21" s="18"/>
      <c r="J21" s="363">
        <v>0</v>
      </c>
      <c r="K21" s="36">
        <v>0</v>
      </c>
      <c r="L21" s="37">
        <v>0</v>
      </c>
      <c r="M21" s="30" t="str">
        <f t="shared" si="4"/>
        <v>-</v>
      </c>
      <c r="N21" s="365"/>
      <c r="O21" s="36">
        <v>0</v>
      </c>
      <c r="P21" s="36">
        <v>0</v>
      </c>
      <c r="Q21" s="37">
        <f>P21-O21</f>
        <v>0</v>
      </c>
      <c r="R21" s="30" t="str">
        <f t="shared" si="6"/>
        <v>-</v>
      </c>
      <c r="S21" s="365"/>
      <c r="T21" s="36">
        <v>0</v>
      </c>
      <c r="U21" s="36">
        <v>0</v>
      </c>
      <c r="V21" s="37">
        <f t="shared" si="7"/>
        <v>0</v>
      </c>
      <c r="W21" s="30" t="str">
        <f t="shared" si="8"/>
        <v>-</v>
      </c>
      <c r="X21" s="186"/>
      <c r="Z21" s="558"/>
    </row>
    <row r="22" spans="1:26" s="352" customFormat="1" ht="15.95" customHeight="1" x14ac:dyDescent="0.2">
      <c r="A22" s="123">
        <v>1400</v>
      </c>
      <c r="B22" s="57" t="s">
        <v>542</v>
      </c>
      <c r="C22" s="60">
        <v>0</v>
      </c>
      <c r="D22" s="60">
        <v>0</v>
      </c>
      <c r="E22" s="60">
        <v>0</v>
      </c>
      <c r="F22" s="60">
        <v>0</v>
      </c>
      <c r="G22" s="343">
        <f t="shared" ref="G22:G47" si="17">F22-E22</f>
        <v>0</v>
      </c>
      <c r="H22" s="362" t="str">
        <f t="shared" si="2"/>
        <v>-</v>
      </c>
      <c r="I22" s="366"/>
      <c r="J22" s="364">
        <v>0</v>
      </c>
      <c r="K22" s="60">
        <v>0</v>
      </c>
      <c r="L22" s="37">
        <v>0</v>
      </c>
      <c r="M22" s="30" t="str">
        <f t="shared" si="4"/>
        <v>-</v>
      </c>
      <c r="N22" s="186"/>
      <c r="O22" s="60">
        <v>0</v>
      </c>
      <c r="P22" s="60">
        <v>0</v>
      </c>
      <c r="Q22" s="37">
        <f t="shared" ref="Q22:Q43" si="18">P22-O22</f>
        <v>0</v>
      </c>
      <c r="R22" s="30" t="str">
        <f t="shared" si="6"/>
        <v>-</v>
      </c>
      <c r="S22" s="186"/>
      <c r="T22" s="60">
        <v>0</v>
      </c>
      <c r="U22" s="60">
        <v>0</v>
      </c>
      <c r="V22" s="37">
        <f t="shared" si="7"/>
        <v>0</v>
      </c>
      <c r="W22" s="30" t="str">
        <f t="shared" si="8"/>
        <v>-</v>
      </c>
      <c r="X22" s="186"/>
      <c r="Z22" s="559"/>
    </row>
    <row r="23" spans="1:26" s="352" customFormat="1" ht="15.95" customHeight="1" x14ac:dyDescent="0.2">
      <c r="A23" s="123">
        <v>1500</v>
      </c>
      <c r="B23" s="57" t="s">
        <v>543</v>
      </c>
      <c r="C23" s="60">
        <v>0</v>
      </c>
      <c r="D23" s="60">
        <v>0</v>
      </c>
      <c r="E23" s="60">
        <v>0</v>
      </c>
      <c r="F23" s="60">
        <v>0</v>
      </c>
      <c r="G23" s="343">
        <f t="shared" si="17"/>
        <v>0</v>
      </c>
      <c r="H23" s="30" t="str">
        <f t="shared" si="2"/>
        <v>-</v>
      </c>
      <c r="I23" s="438"/>
      <c r="J23" s="60">
        <v>0</v>
      </c>
      <c r="K23" s="60">
        <v>0</v>
      </c>
      <c r="L23" s="37">
        <v>0</v>
      </c>
      <c r="M23" s="30" t="str">
        <f t="shared" si="4"/>
        <v>-</v>
      </c>
      <c r="N23" s="344"/>
      <c r="O23" s="60">
        <v>0</v>
      </c>
      <c r="P23" s="60">
        <v>0</v>
      </c>
      <c r="Q23" s="37">
        <f t="shared" si="18"/>
        <v>0</v>
      </c>
      <c r="R23" s="30" t="str">
        <f t="shared" si="6"/>
        <v>-</v>
      </c>
      <c r="S23" s="186"/>
      <c r="T23" s="60">
        <v>0</v>
      </c>
      <c r="U23" s="60">
        <v>0</v>
      </c>
      <c r="V23" s="37">
        <f t="shared" si="7"/>
        <v>0</v>
      </c>
      <c r="W23" s="30" t="str">
        <f t="shared" si="8"/>
        <v>-</v>
      </c>
      <c r="X23" s="186"/>
      <c r="Z23" s="559"/>
    </row>
    <row r="24" spans="1:26" s="352" customFormat="1" ht="31.5" customHeight="1" x14ac:dyDescent="0.2">
      <c r="A24" s="123">
        <v>1600</v>
      </c>
      <c r="B24" s="57" t="s">
        <v>544</v>
      </c>
      <c r="C24" s="60">
        <v>0</v>
      </c>
      <c r="D24" s="60">
        <v>0</v>
      </c>
      <c r="E24" s="60">
        <v>0</v>
      </c>
      <c r="F24" s="60">
        <v>0</v>
      </c>
      <c r="G24" s="343">
        <f t="shared" si="17"/>
        <v>0</v>
      </c>
      <c r="H24" s="30" t="str">
        <f t="shared" si="2"/>
        <v>-</v>
      </c>
      <c r="I24" s="438"/>
      <c r="J24" s="60">
        <v>0</v>
      </c>
      <c r="K24" s="60">
        <v>0</v>
      </c>
      <c r="L24" s="37">
        <v>0</v>
      </c>
      <c r="M24" s="30" t="str">
        <f t="shared" si="4"/>
        <v>-</v>
      </c>
      <c r="N24" s="344"/>
      <c r="O24" s="60">
        <v>0</v>
      </c>
      <c r="P24" s="60">
        <v>0</v>
      </c>
      <c r="Q24" s="37">
        <f t="shared" si="18"/>
        <v>0</v>
      </c>
      <c r="R24" s="30" t="str">
        <f t="shared" si="6"/>
        <v>-</v>
      </c>
      <c r="S24" s="186"/>
      <c r="T24" s="60">
        <v>0</v>
      </c>
      <c r="U24" s="60">
        <v>0</v>
      </c>
      <c r="V24" s="37">
        <f t="shared" si="7"/>
        <v>0</v>
      </c>
      <c r="W24" s="30" t="str">
        <f t="shared" si="8"/>
        <v>-</v>
      </c>
      <c r="X24" s="186"/>
    </row>
    <row r="25" spans="1:26" s="33" customFormat="1" x14ac:dyDescent="0.2">
      <c r="A25" s="354">
        <v>2000</v>
      </c>
      <c r="B25" s="323" t="s">
        <v>321</v>
      </c>
      <c r="C25" s="337">
        <f>C26+C36+C44+C45+C46</f>
        <v>2582832</v>
      </c>
      <c r="D25" s="337">
        <f>D26+D36+D44+D46</f>
        <v>2598283</v>
      </c>
      <c r="E25" s="337">
        <f>E26+E36+E44+E46</f>
        <v>2688162</v>
      </c>
      <c r="F25" s="337">
        <f>F26+F36+F44+F45+F46</f>
        <v>2687502</v>
      </c>
      <c r="G25" s="338">
        <f t="shared" si="17"/>
        <v>-660</v>
      </c>
      <c r="H25" s="339">
        <f t="shared" si="2"/>
        <v>-2.4552091726614693E-4</v>
      </c>
      <c r="I25" s="469"/>
      <c r="J25" s="337">
        <f>J26+J36+J44+J46</f>
        <v>2643880</v>
      </c>
      <c r="K25" s="337">
        <f>K26+K36+K44+K46</f>
        <v>2641951</v>
      </c>
      <c r="L25" s="338">
        <f t="shared" ref="L25:L47" si="19">K25-J25</f>
        <v>-1929</v>
      </c>
      <c r="M25" s="339">
        <f t="shared" si="4"/>
        <v>-7.2960951329107218E-4</v>
      </c>
      <c r="N25" s="340"/>
      <c r="O25" s="337">
        <f>O26+O36+O44+O46</f>
        <v>2887258</v>
      </c>
      <c r="P25" s="337">
        <f>P26+P36+P44+P46</f>
        <v>2709896</v>
      </c>
      <c r="Q25" s="338">
        <f t="shared" si="18"/>
        <v>-177362</v>
      </c>
      <c r="R25" s="339">
        <f t="shared" si="6"/>
        <v>-6.142921761754578E-2</v>
      </c>
      <c r="S25" s="340"/>
      <c r="T25" s="337">
        <f>T26+T36+T44+T46</f>
        <v>2598283</v>
      </c>
      <c r="U25" s="337">
        <f>U26+U36+U44+U46</f>
        <v>2096823</v>
      </c>
      <c r="V25" s="338">
        <f t="shared" si="7"/>
        <v>-501460</v>
      </c>
      <c r="W25" s="339">
        <f t="shared" si="8"/>
        <v>-0.19299668280937834</v>
      </c>
      <c r="X25" s="340"/>
    </row>
    <row r="26" spans="1:26" s="33" customFormat="1" x14ac:dyDescent="0.2">
      <c r="A26" s="185">
        <v>2100</v>
      </c>
      <c r="B26" s="57" t="s">
        <v>322</v>
      </c>
      <c r="C26" s="36">
        <f>SUM(C27:C35)</f>
        <v>457073</v>
      </c>
      <c r="D26" s="36">
        <f t="shared" ref="D26:E26" si="20">SUM(D27:D35)</f>
        <v>602000</v>
      </c>
      <c r="E26" s="36">
        <f t="shared" si="20"/>
        <v>542168</v>
      </c>
      <c r="F26" s="36">
        <f t="shared" ref="F26" si="21">SUM(F27:F34)</f>
        <v>542168</v>
      </c>
      <c r="G26" s="37">
        <f t="shared" si="17"/>
        <v>0</v>
      </c>
      <c r="H26" s="30">
        <f t="shared" si="2"/>
        <v>0</v>
      </c>
      <c r="I26" s="623"/>
      <c r="J26" s="36">
        <f>SUM(J27:J35)</f>
        <v>581527</v>
      </c>
      <c r="K26" s="36">
        <f>SUM(K27:K35)</f>
        <v>581666</v>
      </c>
      <c r="L26" s="37">
        <f t="shared" si="19"/>
        <v>139</v>
      </c>
      <c r="M26" s="30">
        <f t="shared" si="4"/>
        <v>2.3902587498086933E-4</v>
      </c>
      <c r="N26" s="606"/>
      <c r="O26" s="36">
        <f>SUM(O27:O35)</f>
        <v>602000</v>
      </c>
      <c r="P26" s="36">
        <f>SUM(P27:P35)</f>
        <v>631985</v>
      </c>
      <c r="Q26" s="37">
        <f t="shared" si="18"/>
        <v>29985</v>
      </c>
      <c r="R26" s="30">
        <f t="shared" si="6"/>
        <v>4.9808970099667775E-2</v>
      </c>
      <c r="S26" s="612" t="s">
        <v>711</v>
      </c>
      <c r="T26" s="36">
        <f>SUM(T27:T35)</f>
        <v>602000</v>
      </c>
      <c r="U26" s="36">
        <f>SUM(U27:U35)</f>
        <v>482524</v>
      </c>
      <c r="V26" s="37">
        <f t="shared" si="7"/>
        <v>-119476</v>
      </c>
      <c r="W26" s="30">
        <f t="shared" si="8"/>
        <v>-0.19846511627906976</v>
      </c>
      <c r="X26" s="618" t="s">
        <v>726</v>
      </c>
    </row>
    <row r="27" spans="1:26" x14ac:dyDescent="0.2">
      <c r="A27" s="293">
        <v>2110</v>
      </c>
      <c r="B27" s="39" t="s">
        <v>426</v>
      </c>
      <c r="C27" s="45">
        <v>452764</v>
      </c>
      <c r="D27" s="45">
        <v>600000</v>
      </c>
      <c r="E27" s="45">
        <v>538631</v>
      </c>
      <c r="F27" s="40">
        <v>538631</v>
      </c>
      <c r="G27" s="46">
        <f t="shared" si="17"/>
        <v>0</v>
      </c>
      <c r="H27" s="47">
        <f t="shared" si="2"/>
        <v>0</v>
      </c>
      <c r="I27" s="624"/>
      <c r="J27" s="45">
        <v>578925</v>
      </c>
      <c r="K27" s="45">
        <v>579064</v>
      </c>
      <c r="L27" s="46">
        <f t="shared" si="19"/>
        <v>139</v>
      </c>
      <c r="M27" s="47">
        <f t="shared" si="4"/>
        <v>2.4010018568899254E-4</v>
      </c>
      <c r="N27" s="607"/>
      <c r="O27" s="45">
        <v>600000</v>
      </c>
      <c r="P27" s="45">
        <v>628682</v>
      </c>
      <c r="Q27" s="46">
        <f t="shared" si="18"/>
        <v>28682</v>
      </c>
      <c r="R27" s="47">
        <f t="shared" si="6"/>
        <v>4.7803333333333337E-2</v>
      </c>
      <c r="S27" s="632"/>
      <c r="T27" s="45">
        <v>600000</v>
      </c>
      <c r="U27" s="45">
        <f>695286-213521</f>
        <v>481765</v>
      </c>
      <c r="V27" s="46">
        <f t="shared" si="7"/>
        <v>-118235</v>
      </c>
      <c r="W27" s="47">
        <f t="shared" si="8"/>
        <v>-0.19705833333333334</v>
      </c>
      <c r="X27" s="619"/>
    </row>
    <row r="28" spans="1:26" x14ac:dyDescent="0.2">
      <c r="A28" s="293">
        <v>2120</v>
      </c>
      <c r="B28" s="39" t="s">
        <v>427</v>
      </c>
      <c r="C28" s="45"/>
      <c r="D28" s="45"/>
      <c r="E28" s="45"/>
      <c r="F28" s="45"/>
      <c r="G28" s="46">
        <f t="shared" si="17"/>
        <v>0</v>
      </c>
      <c r="H28" s="47" t="str">
        <f t="shared" si="2"/>
        <v>-</v>
      </c>
      <c r="I28" s="624"/>
      <c r="J28" s="45"/>
      <c r="K28" s="45"/>
      <c r="L28" s="46">
        <f t="shared" si="19"/>
        <v>0</v>
      </c>
      <c r="M28" s="47" t="str">
        <f t="shared" si="4"/>
        <v>-</v>
      </c>
      <c r="N28" s="607"/>
      <c r="O28" s="45"/>
      <c r="P28" s="45"/>
      <c r="Q28" s="46">
        <f t="shared" si="18"/>
        <v>0</v>
      </c>
      <c r="R28" s="47" t="str">
        <f t="shared" si="6"/>
        <v>-</v>
      </c>
      <c r="S28" s="632"/>
      <c r="T28" s="45"/>
      <c r="U28" s="45"/>
      <c r="V28" s="46">
        <f t="shared" si="7"/>
        <v>0</v>
      </c>
      <c r="W28" s="47" t="str">
        <f t="shared" si="8"/>
        <v>-</v>
      </c>
      <c r="X28" s="619"/>
    </row>
    <row r="29" spans="1:26" ht="31.5" x14ac:dyDescent="0.2">
      <c r="A29" s="293">
        <v>2130</v>
      </c>
      <c r="B29" s="39" t="s">
        <v>545</v>
      </c>
      <c r="C29" s="45"/>
      <c r="D29" s="45"/>
      <c r="E29" s="45"/>
      <c r="F29" s="45"/>
      <c r="G29" s="46">
        <f t="shared" si="17"/>
        <v>0</v>
      </c>
      <c r="H29" s="47" t="str">
        <f t="shared" si="2"/>
        <v>-</v>
      </c>
      <c r="I29" s="624"/>
      <c r="J29" s="45"/>
      <c r="K29" s="45"/>
      <c r="L29" s="46">
        <f t="shared" si="19"/>
        <v>0</v>
      </c>
      <c r="M29" s="47" t="str">
        <f t="shared" si="4"/>
        <v>-</v>
      </c>
      <c r="N29" s="607"/>
      <c r="O29" s="45"/>
      <c r="P29" s="45"/>
      <c r="Q29" s="46">
        <f t="shared" si="18"/>
        <v>0</v>
      </c>
      <c r="R29" s="47" t="str">
        <f t="shared" si="6"/>
        <v>-</v>
      </c>
      <c r="S29" s="632"/>
      <c r="T29" s="45"/>
      <c r="U29" s="45"/>
      <c r="V29" s="46">
        <f t="shared" si="7"/>
        <v>0</v>
      </c>
      <c r="W29" s="47" t="str">
        <f t="shared" si="8"/>
        <v>-</v>
      </c>
      <c r="X29" s="619"/>
    </row>
    <row r="30" spans="1:26" ht="15.6" customHeight="1" x14ac:dyDescent="0.2">
      <c r="A30" s="293">
        <v>2140</v>
      </c>
      <c r="B30" s="345" t="s">
        <v>546</v>
      </c>
      <c r="C30" s="45"/>
      <c r="D30" s="45"/>
      <c r="E30" s="45"/>
      <c r="F30" s="45"/>
      <c r="G30" s="46">
        <f t="shared" si="17"/>
        <v>0</v>
      </c>
      <c r="H30" s="47" t="str">
        <f t="shared" si="2"/>
        <v>-</v>
      </c>
      <c r="I30" s="624"/>
      <c r="J30" s="45"/>
      <c r="K30" s="45"/>
      <c r="L30" s="46">
        <f t="shared" si="19"/>
        <v>0</v>
      </c>
      <c r="M30" s="47" t="str">
        <f t="shared" si="4"/>
        <v>-</v>
      </c>
      <c r="N30" s="607"/>
      <c r="O30" s="45"/>
      <c r="P30" s="45"/>
      <c r="Q30" s="46">
        <f t="shared" si="18"/>
        <v>0</v>
      </c>
      <c r="R30" s="47" t="str">
        <f t="shared" si="6"/>
        <v>-</v>
      </c>
      <c r="S30" s="632"/>
      <c r="T30" s="45"/>
      <c r="U30" s="45"/>
      <c r="V30" s="46">
        <f t="shared" si="7"/>
        <v>0</v>
      </c>
      <c r="W30" s="47" t="str">
        <f t="shared" si="8"/>
        <v>-</v>
      </c>
      <c r="X30" s="619"/>
    </row>
    <row r="31" spans="1:26" ht="15.6" customHeight="1" x14ac:dyDescent="0.2">
      <c r="A31" s="293">
        <v>2150</v>
      </c>
      <c r="B31" s="345" t="s">
        <v>547</v>
      </c>
      <c r="C31" s="45"/>
      <c r="D31" s="45"/>
      <c r="E31" s="45"/>
      <c r="F31" s="45"/>
      <c r="G31" s="46">
        <f t="shared" si="17"/>
        <v>0</v>
      </c>
      <c r="H31" s="47" t="str">
        <f t="shared" si="2"/>
        <v>-</v>
      </c>
      <c r="I31" s="624"/>
      <c r="J31" s="45"/>
      <c r="K31" s="45"/>
      <c r="L31" s="46">
        <f t="shared" si="19"/>
        <v>0</v>
      </c>
      <c r="M31" s="47" t="str">
        <f t="shared" si="4"/>
        <v>-</v>
      </c>
      <c r="N31" s="607"/>
      <c r="O31" s="45"/>
      <c r="P31" s="45"/>
      <c r="Q31" s="46">
        <f t="shared" si="18"/>
        <v>0</v>
      </c>
      <c r="R31" s="47" t="str">
        <f t="shared" si="6"/>
        <v>-</v>
      </c>
      <c r="S31" s="632"/>
      <c r="T31" s="45"/>
      <c r="U31" s="45"/>
      <c r="V31" s="46">
        <f t="shared" si="7"/>
        <v>0</v>
      </c>
      <c r="W31" s="47" t="str">
        <f t="shared" si="8"/>
        <v>-</v>
      </c>
      <c r="X31" s="619"/>
    </row>
    <row r="32" spans="1:26" ht="15.6" customHeight="1" x14ac:dyDescent="0.2">
      <c r="A32" s="293">
        <v>2160</v>
      </c>
      <c r="B32" s="345" t="s">
        <v>46</v>
      </c>
      <c r="C32" s="45"/>
      <c r="D32" s="45"/>
      <c r="E32" s="45"/>
      <c r="F32" s="45"/>
      <c r="G32" s="46">
        <f t="shared" si="17"/>
        <v>0</v>
      </c>
      <c r="H32" s="47" t="str">
        <f t="shared" si="2"/>
        <v>-</v>
      </c>
      <c r="I32" s="624"/>
      <c r="J32" s="45"/>
      <c r="K32" s="45"/>
      <c r="L32" s="46">
        <f t="shared" si="19"/>
        <v>0</v>
      </c>
      <c r="M32" s="47" t="str">
        <f t="shared" si="4"/>
        <v>-</v>
      </c>
      <c r="N32" s="607"/>
      <c r="O32" s="45"/>
      <c r="P32" s="45"/>
      <c r="Q32" s="46">
        <f t="shared" si="18"/>
        <v>0</v>
      </c>
      <c r="R32" s="47" t="str">
        <f t="shared" si="6"/>
        <v>-</v>
      </c>
      <c r="S32" s="632"/>
      <c r="T32" s="45"/>
      <c r="U32" s="45"/>
      <c r="V32" s="46">
        <f t="shared" si="7"/>
        <v>0</v>
      </c>
      <c r="W32" s="47" t="str">
        <f t="shared" si="8"/>
        <v>-</v>
      </c>
      <c r="X32" s="619"/>
    </row>
    <row r="33" spans="1:24" ht="30.95" customHeight="1" x14ac:dyDescent="0.2">
      <c r="A33" s="293">
        <v>2170</v>
      </c>
      <c r="B33" s="345" t="s">
        <v>548</v>
      </c>
      <c r="C33" s="45"/>
      <c r="D33" s="45"/>
      <c r="E33" s="45"/>
      <c r="F33" s="45"/>
      <c r="G33" s="46">
        <f t="shared" si="17"/>
        <v>0</v>
      </c>
      <c r="H33" s="47" t="str">
        <f t="shared" si="2"/>
        <v>-</v>
      </c>
      <c r="I33" s="624"/>
      <c r="J33" s="45"/>
      <c r="K33" s="45"/>
      <c r="L33" s="46">
        <f t="shared" si="19"/>
        <v>0</v>
      </c>
      <c r="M33" s="47" t="str">
        <f t="shared" si="4"/>
        <v>-</v>
      </c>
      <c r="N33" s="607"/>
      <c r="O33" s="45"/>
      <c r="P33" s="45"/>
      <c r="Q33" s="46">
        <f t="shared" si="18"/>
        <v>0</v>
      </c>
      <c r="R33" s="47" t="str">
        <f t="shared" si="6"/>
        <v>-</v>
      </c>
      <c r="S33" s="632"/>
      <c r="T33" s="45"/>
      <c r="U33" s="45"/>
      <c r="V33" s="46">
        <f t="shared" si="7"/>
        <v>0</v>
      </c>
      <c r="W33" s="47" t="str">
        <f t="shared" si="8"/>
        <v>-</v>
      </c>
      <c r="X33" s="619"/>
    </row>
    <row r="34" spans="1:24" ht="31.5" x14ac:dyDescent="0.2">
      <c r="A34" s="293">
        <v>2180</v>
      </c>
      <c r="B34" s="39" t="s">
        <v>549</v>
      </c>
      <c r="C34" s="45">
        <v>4309</v>
      </c>
      <c r="D34" s="45">
        <v>2000</v>
      </c>
      <c r="E34" s="45">
        <v>3537</v>
      </c>
      <c r="F34" s="45">
        <v>3537</v>
      </c>
      <c r="G34" s="46">
        <f t="shared" si="17"/>
        <v>0</v>
      </c>
      <c r="H34" s="47">
        <f t="shared" si="2"/>
        <v>0</v>
      </c>
      <c r="I34" s="624"/>
      <c r="J34" s="45">
        <v>2602</v>
      </c>
      <c r="K34" s="45">
        <v>2602</v>
      </c>
      <c r="L34" s="46">
        <f t="shared" si="19"/>
        <v>0</v>
      </c>
      <c r="M34" s="47">
        <f t="shared" si="4"/>
        <v>0</v>
      </c>
      <c r="N34" s="607"/>
      <c r="O34" s="45">
        <v>2000</v>
      </c>
      <c r="P34" s="45">
        <v>3303</v>
      </c>
      <c r="Q34" s="46">
        <f t="shared" si="18"/>
        <v>1303</v>
      </c>
      <c r="R34" s="47">
        <f t="shared" si="6"/>
        <v>0.65149999999999997</v>
      </c>
      <c r="S34" s="632"/>
      <c r="T34" s="45">
        <v>2000</v>
      </c>
      <c r="U34" s="45">
        <v>759</v>
      </c>
      <c r="V34" s="46">
        <f t="shared" si="7"/>
        <v>-1241</v>
      </c>
      <c r="W34" s="47">
        <f t="shared" si="8"/>
        <v>-0.62050000000000005</v>
      </c>
      <c r="X34" s="619"/>
    </row>
    <row r="35" spans="1:24" x14ac:dyDescent="0.2">
      <c r="A35" s="293">
        <v>2190</v>
      </c>
      <c r="B35" s="39" t="s">
        <v>550</v>
      </c>
      <c r="C35" s="45"/>
      <c r="D35" s="45"/>
      <c r="E35" s="45"/>
      <c r="F35" s="45"/>
      <c r="G35" s="46">
        <f t="shared" si="17"/>
        <v>0</v>
      </c>
      <c r="H35" s="47" t="str">
        <f t="shared" si="2"/>
        <v>-</v>
      </c>
      <c r="I35" s="625"/>
      <c r="J35" s="45"/>
      <c r="K35" s="45"/>
      <c r="L35" s="46">
        <f t="shared" si="19"/>
        <v>0</v>
      </c>
      <c r="M35" s="47" t="str">
        <f t="shared" si="4"/>
        <v>-</v>
      </c>
      <c r="N35" s="611"/>
      <c r="O35" s="45"/>
      <c r="P35" s="45"/>
      <c r="Q35" s="46">
        <f t="shared" si="18"/>
        <v>0</v>
      </c>
      <c r="R35" s="47" t="str">
        <f t="shared" si="6"/>
        <v>-</v>
      </c>
      <c r="S35" s="633"/>
      <c r="T35" s="45"/>
      <c r="U35" s="45"/>
      <c r="V35" s="46">
        <f t="shared" si="7"/>
        <v>0</v>
      </c>
      <c r="W35" s="47" t="str">
        <f t="shared" si="8"/>
        <v>-</v>
      </c>
      <c r="X35" s="620"/>
    </row>
    <row r="36" spans="1:24" s="352" customFormat="1" x14ac:dyDescent="0.2">
      <c r="A36" s="185">
        <v>2300</v>
      </c>
      <c r="B36" s="57" t="s">
        <v>551</v>
      </c>
      <c r="C36" s="60">
        <f>SUM(C37:C43)</f>
        <v>1782138</v>
      </c>
      <c r="D36" s="60">
        <f t="shared" ref="D36:E36" si="22">SUM(D37:D43)</f>
        <v>1377495</v>
      </c>
      <c r="E36" s="60">
        <f t="shared" si="22"/>
        <v>1037603</v>
      </c>
      <c r="F36" s="60">
        <f>SUM(F37:F43)</f>
        <v>1036943</v>
      </c>
      <c r="G36" s="343">
        <f t="shared" si="17"/>
        <v>-660</v>
      </c>
      <c r="H36" s="189">
        <f t="shared" si="2"/>
        <v>-6.3608142998815536E-4</v>
      </c>
      <c r="I36" s="366"/>
      <c r="J36" s="60">
        <f>SUM(J37:J43)</f>
        <v>1084120</v>
      </c>
      <c r="K36" s="60">
        <f>SUM(K37:K43)</f>
        <v>1082052</v>
      </c>
      <c r="L36" s="343">
        <f t="shared" si="19"/>
        <v>-2068</v>
      </c>
      <c r="M36" s="189">
        <f t="shared" si="4"/>
        <v>-1.9075379109323692E-3</v>
      </c>
      <c r="N36" s="186"/>
      <c r="O36" s="60">
        <f>SUM(O37:O43)</f>
        <v>1756982</v>
      </c>
      <c r="P36" s="60">
        <f>SUM(P37:P43)</f>
        <v>1174074</v>
      </c>
      <c r="Q36" s="343">
        <f t="shared" si="18"/>
        <v>-582908</v>
      </c>
      <c r="R36" s="189">
        <f t="shared" si="6"/>
        <v>-0.33176663164449038</v>
      </c>
      <c r="S36" s="186"/>
      <c r="T36" s="60">
        <f>SUM(T37:T43)</f>
        <v>1377495</v>
      </c>
      <c r="U36" s="60">
        <f>SUM(U37:U43)</f>
        <v>1252018</v>
      </c>
      <c r="V36" s="343">
        <f t="shared" si="7"/>
        <v>-125477</v>
      </c>
      <c r="W36" s="189">
        <f t="shared" si="8"/>
        <v>-9.1090711763019097E-2</v>
      </c>
      <c r="X36" s="186"/>
    </row>
    <row r="37" spans="1:24" ht="78.75" x14ac:dyDescent="0.2">
      <c r="A37" s="293">
        <v>2310</v>
      </c>
      <c r="B37" s="39" t="s">
        <v>552</v>
      </c>
      <c r="C37" s="45">
        <v>1780722</v>
      </c>
      <c r="D37" s="45">
        <v>1376623</v>
      </c>
      <c r="E37" s="45">
        <v>1036731</v>
      </c>
      <c r="F37" s="40">
        <f>1036694-623</f>
        <v>1036071</v>
      </c>
      <c r="G37" s="46">
        <f t="shared" si="17"/>
        <v>-660</v>
      </c>
      <c r="H37" s="47">
        <f t="shared" si="2"/>
        <v>-6.3661644148771477E-4</v>
      </c>
      <c r="I37" s="366"/>
      <c r="J37" s="45">
        <v>1083248</v>
      </c>
      <c r="K37" s="45">
        <f>1083210-2030</f>
        <v>1081180</v>
      </c>
      <c r="L37" s="46">
        <f t="shared" si="19"/>
        <v>-2068</v>
      </c>
      <c r="M37" s="47">
        <f t="shared" si="4"/>
        <v>-1.9090734531704652E-3</v>
      </c>
      <c r="N37" s="366"/>
      <c r="O37" s="45">
        <f>1156110+600000</f>
        <v>1756110</v>
      </c>
      <c r="P37" s="45">
        <f>1176652-3450</f>
        <v>1173202</v>
      </c>
      <c r="Q37" s="46">
        <f t="shared" si="18"/>
        <v>-582908</v>
      </c>
      <c r="R37" s="47">
        <f t="shared" si="6"/>
        <v>-0.33193137104167736</v>
      </c>
      <c r="S37" s="550" t="s">
        <v>712</v>
      </c>
      <c r="T37" s="45">
        <f>1290000+70000+16623</f>
        <v>1376623</v>
      </c>
      <c r="U37" s="45">
        <f>1470706-219560</f>
        <v>1251146</v>
      </c>
      <c r="V37" s="46">
        <f t="shared" si="7"/>
        <v>-125477</v>
      </c>
      <c r="W37" s="47">
        <f t="shared" si="8"/>
        <v>-9.1148411729282452E-2</v>
      </c>
      <c r="X37" s="560" t="s">
        <v>727</v>
      </c>
    </row>
    <row r="38" spans="1:24" ht="47.25" x14ac:dyDescent="0.2">
      <c r="A38" s="293">
        <v>2320</v>
      </c>
      <c r="B38" s="39" t="s">
        <v>553</v>
      </c>
      <c r="C38" s="45"/>
      <c r="D38" s="45"/>
      <c r="E38" s="45"/>
      <c r="F38" s="45"/>
      <c r="G38" s="46">
        <f t="shared" si="17"/>
        <v>0</v>
      </c>
      <c r="H38" s="47" t="str">
        <f t="shared" si="2"/>
        <v>-</v>
      </c>
      <c r="I38" s="366"/>
      <c r="J38" s="45"/>
      <c r="K38" s="45"/>
      <c r="L38" s="46">
        <f t="shared" si="19"/>
        <v>0</v>
      </c>
      <c r="M38" s="47" t="str">
        <f t="shared" si="4"/>
        <v>-</v>
      </c>
      <c r="N38" s="366"/>
      <c r="O38" s="45"/>
      <c r="P38" s="45"/>
      <c r="Q38" s="46">
        <f t="shared" si="18"/>
        <v>0</v>
      </c>
      <c r="R38" s="47" t="str">
        <f t="shared" si="6"/>
        <v>-</v>
      </c>
      <c r="S38" s="366"/>
      <c r="T38" s="45"/>
      <c r="U38" s="45"/>
      <c r="V38" s="46">
        <f t="shared" si="7"/>
        <v>0</v>
      </c>
      <c r="W38" s="47" t="str">
        <f t="shared" si="8"/>
        <v>-</v>
      </c>
      <c r="X38" s="366"/>
    </row>
    <row r="39" spans="1:24" ht="31.5" x14ac:dyDescent="0.2">
      <c r="A39" s="293">
        <v>2340</v>
      </c>
      <c r="B39" s="39" t="s">
        <v>554</v>
      </c>
      <c r="C39" s="45"/>
      <c r="D39" s="45"/>
      <c r="E39" s="45"/>
      <c r="F39" s="45"/>
      <c r="G39" s="46">
        <f t="shared" si="17"/>
        <v>0</v>
      </c>
      <c r="H39" s="47" t="str">
        <f t="shared" si="2"/>
        <v>-</v>
      </c>
      <c r="I39" s="366"/>
      <c r="J39" s="45"/>
      <c r="K39" s="45"/>
      <c r="L39" s="46">
        <f t="shared" si="19"/>
        <v>0</v>
      </c>
      <c r="M39" s="47" t="str">
        <f t="shared" si="4"/>
        <v>-</v>
      </c>
      <c r="N39" s="366"/>
      <c r="O39" s="45"/>
      <c r="P39" s="45"/>
      <c r="Q39" s="46">
        <f t="shared" si="18"/>
        <v>0</v>
      </c>
      <c r="R39" s="47" t="str">
        <f t="shared" si="6"/>
        <v>-</v>
      </c>
      <c r="S39" s="366"/>
      <c r="T39" s="45"/>
      <c r="U39" s="45"/>
      <c r="V39" s="46">
        <f t="shared" si="7"/>
        <v>0</v>
      </c>
      <c r="W39" s="47" t="str">
        <f t="shared" si="8"/>
        <v>-</v>
      </c>
      <c r="X39" s="366"/>
    </row>
    <row r="40" spans="1:24" x14ac:dyDescent="0.2">
      <c r="A40" s="293">
        <v>2360</v>
      </c>
      <c r="B40" s="39" t="s">
        <v>323</v>
      </c>
      <c r="C40" s="45">
        <v>544</v>
      </c>
      <c r="D40" s="45"/>
      <c r="E40" s="45"/>
      <c r="F40" s="45"/>
      <c r="G40" s="46">
        <f t="shared" si="17"/>
        <v>0</v>
      </c>
      <c r="H40" s="47" t="str">
        <f t="shared" si="2"/>
        <v>-</v>
      </c>
      <c r="I40" s="366"/>
      <c r="J40" s="45"/>
      <c r="K40" s="45"/>
      <c r="L40" s="46">
        <f t="shared" si="19"/>
        <v>0</v>
      </c>
      <c r="M40" s="47" t="str">
        <f t="shared" si="4"/>
        <v>-</v>
      </c>
      <c r="N40" s="366"/>
      <c r="O40" s="45"/>
      <c r="P40" s="45"/>
      <c r="Q40" s="46">
        <f t="shared" si="18"/>
        <v>0</v>
      </c>
      <c r="R40" s="47" t="str">
        <f t="shared" si="6"/>
        <v>-</v>
      </c>
      <c r="S40" s="366"/>
      <c r="T40" s="45"/>
      <c r="U40" s="45"/>
      <c r="V40" s="46">
        <f t="shared" si="7"/>
        <v>0</v>
      </c>
      <c r="W40" s="47" t="str">
        <f t="shared" si="8"/>
        <v>-</v>
      </c>
      <c r="X40" s="366"/>
    </row>
    <row r="41" spans="1:24" ht="31.5" x14ac:dyDescent="0.2">
      <c r="A41" s="293">
        <v>2370</v>
      </c>
      <c r="B41" s="39" t="s">
        <v>555</v>
      </c>
      <c r="C41" s="45"/>
      <c r="D41" s="45"/>
      <c r="E41" s="45"/>
      <c r="F41" s="45"/>
      <c r="G41" s="46">
        <f t="shared" si="17"/>
        <v>0</v>
      </c>
      <c r="H41" s="47" t="str">
        <f t="shared" si="2"/>
        <v>-</v>
      </c>
      <c r="I41" s="366"/>
      <c r="J41" s="45"/>
      <c r="K41" s="45"/>
      <c r="L41" s="46">
        <f t="shared" si="19"/>
        <v>0</v>
      </c>
      <c r="M41" s="47" t="str">
        <f t="shared" si="4"/>
        <v>-</v>
      </c>
      <c r="N41" s="366"/>
      <c r="O41" s="45"/>
      <c r="P41" s="45"/>
      <c r="Q41" s="46">
        <f t="shared" si="18"/>
        <v>0</v>
      </c>
      <c r="R41" s="47" t="str">
        <f t="shared" si="6"/>
        <v>-</v>
      </c>
      <c r="S41" s="366"/>
      <c r="T41" s="45"/>
      <c r="U41" s="45"/>
      <c r="V41" s="46">
        <f t="shared" si="7"/>
        <v>0</v>
      </c>
      <c r="W41" s="47" t="str">
        <f t="shared" si="8"/>
        <v>-</v>
      </c>
      <c r="X41" s="366"/>
    </row>
    <row r="42" spans="1:24" x14ac:dyDescent="0.2">
      <c r="A42" s="293">
        <v>2380</v>
      </c>
      <c r="B42" s="39" t="s">
        <v>556</v>
      </c>
      <c r="C42" s="45"/>
      <c r="D42" s="45"/>
      <c r="E42" s="45"/>
      <c r="F42" s="45"/>
      <c r="G42" s="46">
        <f t="shared" si="17"/>
        <v>0</v>
      </c>
      <c r="H42" s="47" t="str">
        <f t="shared" si="2"/>
        <v>-</v>
      </c>
      <c r="I42" s="366"/>
      <c r="J42" s="45"/>
      <c r="K42" s="45"/>
      <c r="L42" s="46">
        <f t="shared" si="19"/>
        <v>0</v>
      </c>
      <c r="M42" s="47" t="str">
        <f t="shared" si="4"/>
        <v>-</v>
      </c>
      <c r="N42" s="366"/>
      <c r="O42" s="45"/>
      <c r="P42" s="45"/>
      <c r="Q42" s="46">
        <f t="shared" si="18"/>
        <v>0</v>
      </c>
      <c r="R42" s="47" t="str">
        <f t="shared" si="6"/>
        <v>-</v>
      </c>
      <c r="S42" s="366"/>
      <c r="T42" s="45"/>
      <c r="U42" s="45"/>
      <c r="V42" s="46">
        <f t="shared" si="7"/>
        <v>0</v>
      </c>
      <c r="W42" s="47" t="str">
        <f t="shared" si="8"/>
        <v>-</v>
      </c>
      <c r="X42" s="366"/>
    </row>
    <row r="43" spans="1:24" x14ac:dyDescent="0.2">
      <c r="A43" s="293">
        <v>2390</v>
      </c>
      <c r="B43" s="39" t="s">
        <v>557</v>
      </c>
      <c r="C43" s="45">
        <v>872</v>
      </c>
      <c r="D43" s="45">
        <v>872</v>
      </c>
      <c r="E43" s="45">
        <v>872</v>
      </c>
      <c r="F43" s="45">
        <v>872</v>
      </c>
      <c r="G43" s="46">
        <f t="shared" si="17"/>
        <v>0</v>
      </c>
      <c r="H43" s="47">
        <f t="shared" si="2"/>
        <v>0</v>
      </c>
      <c r="I43" s="366"/>
      <c r="J43" s="45">
        <v>872</v>
      </c>
      <c r="K43" s="45">
        <v>872</v>
      </c>
      <c r="L43" s="46">
        <f t="shared" si="19"/>
        <v>0</v>
      </c>
      <c r="M43" s="47">
        <f t="shared" si="4"/>
        <v>0</v>
      </c>
      <c r="N43" s="366"/>
      <c r="O43" s="45">
        <v>872</v>
      </c>
      <c r="P43" s="45">
        <v>872</v>
      </c>
      <c r="Q43" s="46">
        <f t="shared" si="18"/>
        <v>0</v>
      </c>
      <c r="R43" s="47">
        <f t="shared" si="6"/>
        <v>0</v>
      </c>
      <c r="S43" s="366"/>
      <c r="T43" s="45">
        <v>872</v>
      </c>
      <c r="U43" s="45">
        <v>872</v>
      </c>
      <c r="V43" s="46">
        <f t="shared" si="7"/>
        <v>0</v>
      </c>
      <c r="W43" s="47">
        <f t="shared" si="8"/>
        <v>0</v>
      </c>
      <c r="X43" s="366"/>
    </row>
    <row r="44" spans="1:24" s="352" customFormat="1" ht="31.5" customHeight="1" x14ac:dyDescent="0.2">
      <c r="A44" s="185">
        <v>2400</v>
      </c>
      <c r="B44" s="57" t="s">
        <v>558</v>
      </c>
      <c r="C44" s="60">
        <v>15781</v>
      </c>
      <c r="D44" s="60">
        <v>20000</v>
      </c>
      <c r="E44" s="60">
        <v>98673</v>
      </c>
      <c r="F44" s="60">
        <v>98673</v>
      </c>
      <c r="G44" s="61">
        <f t="shared" si="17"/>
        <v>0</v>
      </c>
      <c r="H44" s="62">
        <f t="shared" si="2"/>
        <v>0</v>
      </c>
      <c r="I44" s="515"/>
      <c r="J44" s="60">
        <v>66307</v>
      </c>
      <c r="K44" s="60">
        <v>66307</v>
      </c>
      <c r="L44" s="61">
        <f t="shared" si="19"/>
        <v>0</v>
      </c>
      <c r="M44" s="62">
        <f t="shared" si="4"/>
        <v>0</v>
      </c>
      <c r="N44" s="186"/>
      <c r="O44" s="60">
        <v>66000</v>
      </c>
      <c r="P44" s="60">
        <v>40376</v>
      </c>
      <c r="Q44" s="61"/>
      <c r="R44" s="62"/>
      <c r="S44" s="186"/>
      <c r="T44" s="60">
        <v>20000</v>
      </c>
      <c r="U44" s="60">
        <v>21122</v>
      </c>
      <c r="V44" s="61">
        <f t="shared" si="7"/>
        <v>1122</v>
      </c>
      <c r="W44" s="62">
        <f t="shared" si="8"/>
        <v>5.6099999999999997E-2</v>
      </c>
      <c r="X44" s="186"/>
    </row>
    <row r="45" spans="1:24" s="352" customFormat="1" x14ac:dyDescent="0.2">
      <c r="A45" s="185">
        <v>2500</v>
      </c>
      <c r="B45" s="57" t="s">
        <v>428</v>
      </c>
      <c r="C45" s="60">
        <v>0</v>
      </c>
      <c r="D45" s="60">
        <v>0</v>
      </c>
      <c r="E45" s="60">
        <v>0</v>
      </c>
      <c r="F45" s="60">
        <v>0</v>
      </c>
      <c r="G45" s="61">
        <f t="shared" si="17"/>
        <v>0</v>
      </c>
      <c r="H45" s="62" t="str">
        <f t="shared" si="2"/>
        <v>-</v>
      </c>
      <c r="I45" s="366"/>
      <c r="J45" s="60">
        <v>0</v>
      </c>
      <c r="K45" s="60">
        <v>0</v>
      </c>
      <c r="L45" s="61">
        <f t="shared" si="19"/>
        <v>0</v>
      </c>
      <c r="M45" s="62" t="str">
        <f t="shared" si="4"/>
        <v>-</v>
      </c>
      <c r="N45" s="186"/>
      <c r="O45" s="60"/>
      <c r="P45" s="60"/>
      <c r="Q45" s="61"/>
      <c r="R45" s="62"/>
      <c r="S45" s="186"/>
      <c r="T45" s="60"/>
      <c r="U45" s="60"/>
      <c r="V45" s="61">
        <f t="shared" si="7"/>
        <v>0</v>
      </c>
      <c r="W45" s="62" t="str">
        <f t="shared" si="8"/>
        <v>-</v>
      </c>
      <c r="X45" s="186"/>
    </row>
    <row r="46" spans="1:24" s="352" customFormat="1" x14ac:dyDescent="0.2">
      <c r="A46" s="185">
        <v>2600</v>
      </c>
      <c r="B46" s="57" t="s">
        <v>559</v>
      </c>
      <c r="C46" s="60">
        <v>327840</v>
      </c>
      <c r="D46" s="60">
        <v>598788</v>
      </c>
      <c r="E46" s="60">
        <v>1009718</v>
      </c>
      <c r="F46" s="60">
        <v>1009718</v>
      </c>
      <c r="G46" s="61">
        <f t="shared" si="17"/>
        <v>0</v>
      </c>
      <c r="H46" s="62">
        <f t="shared" si="2"/>
        <v>0</v>
      </c>
      <c r="I46" s="515"/>
      <c r="J46" s="60">
        <v>911926</v>
      </c>
      <c r="K46" s="60">
        <v>911926</v>
      </c>
      <c r="L46" s="61">
        <f t="shared" si="19"/>
        <v>0</v>
      </c>
      <c r="M46" s="62">
        <f t="shared" si="4"/>
        <v>0</v>
      </c>
      <c r="N46" s="186"/>
      <c r="O46" s="60">
        <v>462276</v>
      </c>
      <c r="P46" s="60">
        <v>863461</v>
      </c>
      <c r="Q46" s="61"/>
      <c r="R46" s="62"/>
      <c r="S46" s="186"/>
      <c r="T46" s="60">
        <v>598788</v>
      </c>
      <c r="U46" s="60">
        <v>341159</v>
      </c>
      <c r="V46" s="61">
        <f t="shared" si="7"/>
        <v>-257629</v>
      </c>
      <c r="W46" s="62">
        <f t="shared" si="8"/>
        <v>-0.4302507732285884</v>
      </c>
      <c r="X46" s="186"/>
    </row>
    <row r="47" spans="1:24" s="33" customFormat="1" x14ac:dyDescent="0.2">
      <c r="A47" s="353"/>
      <c r="B47" s="346" t="s">
        <v>560</v>
      </c>
      <c r="C47" s="347">
        <f>C25+C3</f>
        <v>15708434</v>
      </c>
      <c r="D47" s="347">
        <f>D3+D25</f>
        <v>15200227</v>
      </c>
      <c r="E47" s="347">
        <f>E3+E25</f>
        <v>15687088</v>
      </c>
      <c r="F47" s="347">
        <f>F25+F3</f>
        <v>15686588</v>
      </c>
      <c r="G47" s="348">
        <f t="shared" si="17"/>
        <v>-500</v>
      </c>
      <c r="H47" s="349">
        <f t="shared" si="2"/>
        <v>-3.1873347048222081E-5</v>
      </c>
      <c r="I47" s="469"/>
      <c r="J47" s="513">
        <f>J3+J25</f>
        <v>15507145</v>
      </c>
      <c r="K47" s="513">
        <f>K25+K3</f>
        <v>15506517</v>
      </c>
      <c r="L47" s="348">
        <f t="shared" si="19"/>
        <v>-628</v>
      </c>
      <c r="M47" s="349">
        <f t="shared" si="4"/>
        <v>-4.0497461009102578E-5</v>
      </c>
      <c r="N47" s="350"/>
      <c r="O47" s="347">
        <f>O3+O25</f>
        <v>15794489</v>
      </c>
      <c r="P47" s="347">
        <f>P25+P3</f>
        <v>15559574</v>
      </c>
      <c r="Q47" s="348">
        <f t="shared" ref="Q47" si="23">P47-O47</f>
        <v>-234915</v>
      </c>
      <c r="R47" s="349">
        <f t="shared" ref="R47" si="24">IFERROR(Q47/ABS(O47), "-")</f>
        <v>-1.4873225718160302E-2</v>
      </c>
      <c r="S47" s="350"/>
      <c r="T47" s="347">
        <f>T3+T25</f>
        <v>15200227</v>
      </c>
      <c r="U47" s="347">
        <f>U25+U3</f>
        <v>14807747</v>
      </c>
      <c r="V47" s="348">
        <f t="shared" si="7"/>
        <v>-392480</v>
      </c>
      <c r="W47" s="349">
        <f t="shared" si="8"/>
        <v>-2.5820667020301738E-2</v>
      </c>
      <c r="X47" s="350"/>
    </row>
    <row r="48" spans="1:24" s="33" customFormat="1" ht="12" customHeight="1" x14ac:dyDescent="0.2">
      <c r="A48" s="34"/>
      <c r="B48" s="25"/>
      <c r="C48" s="25"/>
      <c r="D48" s="25"/>
      <c r="E48" s="25"/>
      <c r="F48" s="25"/>
      <c r="G48" s="26"/>
      <c r="H48" s="28"/>
      <c r="I48" s="25"/>
      <c r="J48" s="25"/>
      <c r="K48" s="25"/>
      <c r="L48" s="26"/>
      <c r="M48" s="28"/>
      <c r="N48" s="25"/>
      <c r="O48" s="25"/>
      <c r="P48" s="25"/>
      <c r="Q48" s="26"/>
      <c r="R48" s="28"/>
      <c r="S48" s="25"/>
      <c r="T48" s="25"/>
      <c r="U48" s="25"/>
      <c r="V48" s="26"/>
      <c r="W48" s="28"/>
      <c r="X48" s="25"/>
    </row>
    <row r="49" spans="1:24" s="351" customFormat="1" x14ac:dyDescent="0.2">
      <c r="A49" s="336">
        <v>3000</v>
      </c>
      <c r="B49" s="323" t="s">
        <v>302</v>
      </c>
      <c r="C49" s="337">
        <f>C50+C51+C52+C55</f>
        <v>6798923</v>
      </c>
      <c r="D49" s="337">
        <f>D50+D51+D52+D55</f>
        <v>6596448</v>
      </c>
      <c r="E49" s="337">
        <f>E50+E51+E52+E55</f>
        <v>6137608</v>
      </c>
      <c r="F49" s="337">
        <f>F50+F51+F52+F55</f>
        <v>6132471</v>
      </c>
      <c r="G49" s="338">
        <f>F49-E49</f>
        <v>-5137</v>
      </c>
      <c r="H49" s="339">
        <f>IFERROR(G49/ABS(E49), "-")</f>
        <v>-8.369710154183845E-4</v>
      </c>
      <c r="I49" s="471"/>
      <c r="J49" s="337">
        <f>J50+J51+J52+J55</f>
        <v>5456119</v>
      </c>
      <c r="K49" s="337">
        <f>K50+K51+K55</f>
        <v>5421569</v>
      </c>
      <c r="L49" s="338">
        <f>K49-J49</f>
        <v>-34550</v>
      </c>
      <c r="M49" s="339">
        <f>IFERROR(L49/ABS(J49), "-")</f>
        <v>-6.3323398921467803E-3</v>
      </c>
      <c r="N49" s="355"/>
      <c r="O49" s="337">
        <f>O50+O51+O52+O55</f>
        <v>6617322</v>
      </c>
      <c r="P49" s="337">
        <f>P50+P51+P52+P55</f>
        <v>5555467</v>
      </c>
      <c r="Q49" s="338">
        <f>P49-O49</f>
        <v>-1061855</v>
      </c>
      <c r="R49" s="339">
        <f>IFERROR(Q49/ABS(O49), "-")</f>
        <v>-0.1604659709773833</v>
      </c>
      <c r="S49" s="355"/>
      <c r="T49" s="337">
        <f>T50+T51+T52+T55</f>
        <v>6596448</v>
      </c>
      <c r="U49" s="337">
        <f>U50+U51+U52+U55</f>
        <v>5806259</v>
      </c>
      <c r="V49" s="338">
        <f>U49-T49</f>
        <v>-790189</v>
      </c>
      <c r="W49" s="339">
        <f>IFERROR(V49/ABS(T49), "-")</f>
        <v>-0.11979007490091637</v>
      </c>
      <c r="X49" s="355"/>
    </row>
    <row r="50" spans="1:24" s="352" customFormat="1" x14ac:dyDescent="0.2">
      <c r="A50" s="35">
        <v>3100</v>
      </c>
      <c r="B50" s="57" t="s">
        <v>303</v>
      </c>
      <c r="C50" s="60">
        <v>4044523</v>
      </c>
      <c r="D50" s="60">
        <v>4044523</v>
      </c>
      <c r="E50" s="60">
        <v>4044523</v>
      </c>
      <c r="F50" s="60">
        <v>4044523</v>
      </c>
      <c r="G50" s="61">
        <f t="shared" ref="G50:G80" si="25">F50-E50</f>
        <v>0</v>
      </c>
      <c r="H50" s="62">
        <f t="shared" ref="H50:H84" si="26">IFERROR(G50/ABS(E50), "-")</f>
        <v>0</v>
      </c>
      <c r="I50" s="471"/>
      <c r="J50" s="60">
        <v>4044523</v>
      </c>
      <c r="K50" s="60">
        <v>4044523</v>
      </c>
      <c r="L50" s="61">
        <f t="shared" ref="L50:L80" si="27">K50-J50</f>
        <v>0</v>
      </c>
      <c r="M50" s="62">
        <f t="shared" ref="M50:M80" si="28">IFERROR(L50/ABS(J50), "-")</f>
        <v>0</v>
      </c>
      <c r="N50" s="38"/>
      <c r="O50" s="60">
        <v>4044523</v>
      </c>
      <c r="P50" s="60">
        <v>4044523</v>
      </c>
      <c r="Q50" s="61">
        <f t="shared" ref="Q50:Q80" si="29">P50-O50</f>
        <v>0</v>
      </c>
      <c r="R50" s="62">
        <f t="shared" ref="R50:R80" si="30">IFERROR(Q50/ABS(O50), "-")</f>
        <v>0</v>
      </c>
      <c r="S50" s="38"/>
      <c r="T50" s="60">
        <v>4044523</v>
      </c>
      <c r="U50" s="60">
        <v>4044523</v>
      </c>
      <c r="V50" s="61">
        <f t="shared" ref="V50:V80" si="31">U50-T50</f>
        <v>0</v>
      </c>
      <c r="W50" s="62">
        <f t="shared" ref="W50:W80" si="32">IFERROR(V50/ABS(T50), "-")</f>
        <v>0</v>
      </c>
      <c r="X50" s="38"/>
    </row>
    <row r="51" spans="1:24" s="352" customFormat="1" ht="31.5" x14ac:dyDescent="0.2">
      <c r="A51" s="35">
        <v>3200</v>
      </c>
      <c r="B51" s="57" t="s">
        <v>564</v>
      </c>
      <c r="C51" s="60">
        <v>2140858</v>
      </c>
      <c r="D51" s="60">
        <v>2082018</v>
      </c>
      <c r="E51" s="60">
        <v>2140858</v>
      </c>
      <c r="F51" s="60">
        <v>2140858</v>
      </c>
      <c r="G51" s="61">
        <v>0</v>
      </c>
      <c r="H51" s="62">
        <f t="shared" si="26"/>
        <v>0</v>
      </c>
      <c r="I51" s="472"/>
      <c r="J51" s="60">
        <v>2140858</v>
      </c>
      <c r="K51" s="60">
        <v>2140858</v>
      </c>
      <c r="L51" s="61">
        <f t="shared" si="27"/>
        <v>0</v>
      </c>
      <c r="M51" s="62">
        <f t="shared" si="28"/>
        <v>0</v>
      </c>
      <c r="N51" s="356"/>
      <c r="O51" s="60">
        <v>2140858</v>
      </c>
      <c r="P51" s="60">
        <v>2140868</v>
      </c>
      <c r="Q51" s="61">
        <f t="shared" si="29"/>
        <v>10</v>
      </c>
      <c r="R51" s="62">
        <f t="shared" si="30"/>
        <v>4.6710244210498778E-6</v>
      </c>
      <c r="S51" s="356"/>
      <c r="T51" s="60">
        <v>2082018</v>
      </c>
      <c r="U51" s="60">
        <v>2082018</v>
      </c>
      <c r="V51" s="61">
        <f t="shared" si="31"/>
        <v>0</v>
      </c>
      <c r="W51" s="62">
        <f t="shared" si="32"/>
        <v>0</v>
      </c>
      <c r="X51" s="356"/>
    </row>
    <row r="52" spans="1:24" s="352" customFormat="1" x14ac:dyDescent="0.2">
      <c r="A52" s="35">
        <v>3300</v>
      </c>
      <c r="B52" s="357" t="s">
        <v>415</v>
      </c>
      <c r="C52" s="60">
        <f>C53+C54</f>
        <v>0</v>
      </c>
      <c r="D52" s="60">
        <f t="shared" ref="D52:F52" si="33">D53+D54</f>
        <v>0</v>
      </c>
      <c r="E52" s="60">
        <f t="shared" si="33"/>
        <v>0</v>
      </c>
      <c r="F52" s="60">
        <f t="shared" si="33"/>
        <v>0</v>
      </c>
      <c r="G52" s="61">
        <f t="shared" ref="G52:G54" si="34">F52-E52</f>
        <v>0</v>
      </c>
      <c r="H52" s="62" t="str">
        <f t="shared" si="26"/>
        <v>-</v>
      </c>
      <c r="I52" s="606"/>
      <c r="J52" s="60">
        <f>J53+J54</f>
        <v>0</v>
      </c>
      <c r="K52" s="60">
        <f t="shared" ref="K52" si="35">K53+K54</f>
        <v>0</v>
      </c>
      <c r="L52" s="61">
        <f t="shared" si="27"/>
        <v>0</v>
      </c>
      <c r="M52" s="62" t="str">
        <f t="shared" si="28"/>
        <v>-</v>
      </c>
      <c r="N52" s="606"/>
      <c r="O52" s="60">
        <f>O53+O54</f>
        <v>0</v>
      </c>
      <c r="P52" s="60">
        <f t="shared" ref="P52" si="36">P53+P54</f>
        <v>0</v>
      </c>
      <c r="Q52" s="61">
        <f t="shared" si="29"/>
        <v>0</v>
      </c>
      <c r="R52" s="62" t="str">
        <f t="shared" si="30"/>
        <v>-</v>
      </c>
      <c r="S52" s="606"/>
      <c r="T52" s="60">
        <f>T53+T54</f>
        <v>0</v>
      </c>
      <c r="U52" s="60">
        <f t="shared" ref="U52" si="37">U53+U54</f>
        <v>0</v>
      </c>
      <c r="V52" s="61">
        <f t="shared" si="31"/>
        <v>0</v>
      </c>
      <c r="W52" s="62" t="str">
        <f t="shared" si="32"/>
        <v>-</v>
      </c>
      <c r="X52" s="606"/>
    </row>
    <row r="53" spans="1:24" x14ac:dyDescent="0.2">
      <c r="A53" s="293">
        <v>3320</v>
      </c>
      <c r="B53" s="43" t="s">
        <v>562</v>
      </c>
      <c r="C53" s="40"/>
      <c r="D53" s="40"/>
      <c r="E53" s="40"/>
      <c r="F53" s="40"/>
      <c r="G53" s="41">
        <f t="shared" si="34"/>
        <v>0</v>
      </c>
      <c r="H53" s="29" t="str">
        <f t="shared" si="26"/>
        <v>-</v>
      </c>
      <c r="I53" s="607"/>
      <c r="J53" s="40"/>
      <c r="K53" s="40"/>
      <c r="L53" s="41">
        <f t="shared" si="27"/>
        <v>0</v>
      </c>
      <c r="M53" s="29" t="str">
        <f t="shared" si="28"/>
        <v>-</v>
      </c>
      <c r="N53" s="607"/>
      <c r="O53" s="40"/>
      <c r="P53" s="40"/>
      <c r="Q53" s="41">
        <f t="shared" si="29"/>
        <v>0</v>
      </c>
      <c r="R53" s="29" t="str">
        <f t="shared" si="30"/>
        <v>-</v>
      </c>
      <c r="S53" s="607"/>
      <c r="T53" s="40"/>
      <c r="U53" s="40"/>
      <c r="V53" s="41">
        <f t="shared" si="31"/>
        <v>0</v>
      </c>
      <c r="W53" s="29" t="str">
        <f t="shared" si="32"/>
        <v>-</v>
      </c>
      <c r="X53" s="607"/>
    </row>
    <row r="54" spans="1:24" x14ac:dyDescent="0.2">
      <c r="A54" s="293">
        <v>3360</v>
      </c>
      <c r="B54" s="43" t="s">
        <v>563</v>
      </c>
      <c r="C54" s="40"/>
      <c r="D54" s="40"/>
      <c r="E54" s="40"/>
      <c r="F54" s="40"/>
      <c r="G54" s="41">
        <f t="shared" si="34"/>
        <v>0</v>
      </c>
      <c r="H54" s="29" t="str">
        <f t="shared" si="26"/>
        <v>-</v>
      </c>
      <c r="I54" s="607"/>
      <c r="J54" s="40"/>
      <c r="K54" s="40"/>
      <c r="L54" s="41">
        <f t="shared" si="27"/>
        <v>0</v>
      </c>
      <c r="M54" s="29" t="str">
        <f t="shared" si="28"/>
        <v>-</v>
      </c>
      <c r="N54" s="607"/>
      <c r="O54" s="40"/>
      <c r="P54" s="40"/>
      <c r="Q54" s="41">
        <f t="shared" si="29"/>
        <v>0</v>
      </c>
      <c r="R54" s="29" t="str">
        <f t="shared" si="30"/>
        <v>-</v>
      </c>
      <c r="S54" s="607"/>
      <c r="T54" s="40"/>
      <c r="U54" s="40"/>
      <c r="V54" s="41">
        <f t="shared" si="31"/>
        <v>0</v>
      </c>
      <c r="W54" s="29" t="str">
        <f t="shared" si="32"/>
        <v>-</v>
      </c>
      <c r="X54" s="607"/>
    </row>
    <row r="55" spans="1:24" s="33" customFormat="1" x14ac:dyDescent="0.2">
      <c r="A55" s="35">
        <v>3500</v>
      </c>
      <c r="B55" s="57" t="s">
        <v>304</v>
      </c>
      <c r="C55" s="36">
        <f>C56+C57</f>
        <v>613542</v>
      </c>
      <c r="D55" s="36">
        <f t="shared" ref="D55:F55" si="38">D56+D57</f>
        <v>469907</v>
      </c>
      <c r="E55" s="36">
        <f t="shared" si="38"/>
        <v>-47773</v>
      </c>
      <c r="F55" s="36">
        <f t="shared" si="38"/>
        <v>-52910</v>
      </c>
      <c r="G55" s="58">
        <f t="shared" si="25"/>
        <v>-5137</v>
      </c>
      <c r="H55" s="59">
        <f t="shared" si="26"/>
        <v>-0.10752935758692149</v>
      </c>
      <c r="I55" s="623"/>
      <c r="J55" s="36">
        <f t="shared" ref="J55:K55" si="39">J56+J57</f>
        <v>-729262</v>
      </c>
      <c r="K55" s="36">
        <f t="shared" si="39"/>
        <v>-763812</v>
      </c>
      <c r="L55" s="58">
        <f t="shared" si="27"/>
        <v>-34550</v>
      </c>
      <c r="M55" s="59">
        <f t="shared" si="28"/>
        <v>-4.7376662982576909E-2</v>
      </c>
      <c r="N55" s="629"/>
      <c r="O55" s="36">
        <f t="shared" ref="O55:P55" si="40">O56+O57</f>
        <v>431941</v>
      </c>
      <c r="P55" s="56">
        <f t="shared" si="40"/>
        <v>-629924</v>
      </c>
      <c r="Q55" s="58">
        <f t="shared" si="29"/>
        <v>-1061865</v>
      </c>
      <c r="R55" s="59">
        <f t="shared" si="30"/>
        <v>-2.4583565811071422</v>
      </c>
      <c r="S55" s="608" t="s">
        <v>710</v>
      </c>
      <c r="T55" s="36">
        <f t="shared" ref="T55:U55" si="41">T56+T57</f>
        <v>469907</v>
      </c>
      <c r="U55" s="56">
        <f t="shared" si="41"/>
        <v>-320282</v>
      </c>
      <c r="V55" s="58">
        <f t="shared" si="31"/>
        <v>-790189</v>
      </c>
      <c r="W55" s="59">
        <f t="shared" si="32"/>
        <v>-1.6815859308331222</v>
      </c>
      <c r="X55" s="615" t="s">
        <v>724</v>
      </c>
    </row>
    <row r="56" spans="1:24" ht="31.5" x14ac:dyDescent="0.2">
      <c r="A56" s="293">
        <v>3510</v>
      </c>
      <c r="B56" s="39" t="s">
        <v>416</v>
      </c>
      <c r="C56" s="40">
        <v>404452</v>
      </c>
      <c r="D56" s="40">
        <v>479724</v>
      </c>
      <c r="E56" s="40">
        <v>613542</v>
      </c>
      <c r="F56" s="40">
        <v>613542</v>
      </c>
      <c r="G56" s="41">
        <f t="shared" si="25"/>
        <v>0</v>
      </c>
      <c r="H56" s="29">
        <f t="shared" si="26"/>
        <v>0</v>
      </c>
      <c r="I56" s="624"/>
      <c r="J56" s="40">
        <v>479724</v>
      </c>
      <c r="K56" s="40">
        <v>479724</v>
      </c>
      <c r="L56" s="41">
        <f t="shared" si="27"/>
        <v>0</v>
      </c>
      <c r="M56" s="29">
        <f t="shared" si="28"/>
        <v>0</v>
      </c>
      <c r="N56" s="630"/>
      <c r="O56" s="40">
        <v>479724</v>
      </c>
      <c r="P56" s="40">
        <v>479724</v>
      </c>
      <c r="Q56" s="41">
        <f t="shared" si="29"/>
        <v>0</v>
      </c>
      <c r="R56" s="29">
        <f t="shared" si="30"/>
        <v>0</v>
      </c>
      <c r="S56" s="609"/>
      <c r="T56" s="40">
        <v>479724</v>
      </c>
      <c r="U56" s="40">
        <v>479725</v>
      </c>
      <c r="V56" s="41">
        <f t="shared" si="31"/>
        <v>1</v>
      </c>
      <c r="W56" s="29">
        <f t="shared" si="32"/>
        <v>2.0845319391983722E-6</v>
      </c>
      <c r="X56" s="616"/>
    </row>
    <row r="57" spans="1:24" ht="60.75" customHeight="1" x14ac:dyDescent="0.2">
      <c r="A57" s="293">
        <v>3520</v>
      </c>
      <c r="B57" s="39" t="s">
        <v>417</v>
      </c>
      <c r="C57" s="40">
        <v>209090</v>
      </c>
      <c r="D57" s="40">
        <v>-9817</v>
      </c>
      <c r="E57" s="40">
        <v>-661315</v>
      </c>
      <c r="F57" s="40">
        <v>-666452</v>
      </c>
      <c r="G57" s="41">
        <f t="shared" si="25"/>
        <v>-5137</v>
      </c>
      <c r="H57" s="29">
        <f t="shared" si="26"/>
        <v>-7.7678564677952262E-3</v>
      </c>
      <c r="I57" s="625"/>
      <c r="J57" s="40">
        <v>-1208986</v>
      </c>
      <c r="K57" s="40">
        <v>-1243536</v>
      </c>
      <c r="L57" s="41">
        <f t="shared" si="27"/>
        <v>-34550</v>
      </c>
      <c r="M57" s="29">
        <f t="shared" si="28"/>
        <v>-2.857766756604295E-2</v>
      </c>
      <c r="N57" s="631"/>
      <c r="O57" s="40">
        <v>-47783</v>
      </c>
      <c r="P57" s="40">
        <v>-1109648</v>
      </c>
      <c r="Q57" s="41">
        <f t="shared" si="29"/>
        <v>-1061865</v>
      </c>
      <c r="R57" s="29">
        <f t="shared" si="30"/>
        <v>-22.222652407760084</v>
      </c>
      <c r="S57" s="610"/>
      <c r="T57" s="40">
        <v>-9817</v>
      </c>
      <c r="U57" s="40">
        <v>-800007</v>
      </c>
      <c r="V57" s="41">
        <f t="shared" si="31"/>
        <v>-790190</v>
      </c>
      <c r="W57" s="29">
        <f t="shared" si="32"/>
        <v>-80.492003667108079</v>
      </c>
      <c r="X57" s="617"/>
    </row>
    <row r="58" spans="1:24" x14ac:dyDescent="0.2">
      <c r="A58" s="336">
        <v>4000</v>
      </c>
      <c r="B58" s="323" t="s">
        <v>305</v>
      </c>
      <c r="C58" s="358">
        <v>214168</v>
      </c>
      <c r="D58" s="358">
        <v>220000</v>
      </c>
      <c r="E58" s="358">
        <v>214168</v>
      </c>
      <c r="F58" s="358">
        <v>214168</v>
      </c>
      <c r="G58" s="359">
        <f t="shared" si="25"/>
        <v>0</v>
      </c>
      <c r="H58" s="360">
        <f t="shared" si="26"/>
        <v>0</v>
      </c>
      <c r="I58" s="473"/>
      <c r="J58" s="514">
        <v>214168</v>
      </c>
      <c r="K58" s="514">
        <v>214168</v>
      </c>
      <c r="L58" s="359">
        <v>0</v>
      </c>
      <c r="M58" s="360">
        <f t="shared" si="28"/>
        <v>0</v>
      </c>
      <c r="N58" s="361"/>
      <c r="O58" s="474">
        <v>214168</v>
      </c>
      <c r="P58" s="358">
        <v>214168</v>
      </c>
      <c r="Q58" s="359">
        <v>0</v>
      </c>
      <c r="R58" s="360">
        <f t="shared" si="30"/>
        <v>0</v>
      </c>
      <c r="S58" s="361"/>
      <c r="T58" s="358">
        <v>220000</v>
      </c>
      <c r="U58" s="358">
        <v>201945</v>
      </c>
      <c r="V58" s="359">
        <v>0</v>
      </c>
      <c r="W58" s="360">
        <f t="shared" si="32"/>
        <v>0</v>
      </c>
      <c r="X58" s="361"/>
    </row>
    <row r="59" spans="1:24" s="33" customFormat="1" x14ac:dyDescent="0.2">
      <c r="A59" s="336">
        <v>5000</v>
      </c>
      <c r="B59" s="323" t="s">
        <v>306</v>
      </c>
      <c r="C59" s="337">
        <f>C60+C70</f>
        <v>8695343</v>
      </c>
      <c r="D59" s="475">
        <f>D60+D70</f>
        <v>8383779</v>
      </c>
      <c r="E59" s="337">
        <f>E60+E70</f>
        <v>9335312</v>
      </c>
      <c r="F59" s="337">
        <f>F60+F70</f>
        <v>9339949</v>
      </c>
      <c r="G59" s="338">
        <f t="shared" si="25"/>
        <v>4637</v>
      </c>
      <c r="H59" s="339">
        <f t="shared" si="26"/>
        <v>4.9671612475298097E-4</v>
      </c>
      <c r="I59" s="469"/>
      <c r="J59" s="337">
        <f>J60+J70</f>
        <v>9836858</v>
      </c>
      <c r="K59" s="337">
        <f>K60+K70</f>
        <v>9870780</v>
      </c>
      <c r="L59" s="338">
        <f t="shared" si="27"/>
        <v>33922</v>
      </c>
      <c r="M59" s="339">
        <f t="shared" si="28"/>
        <v>3.4484588473270633E-3</v>
      </c>
      <c r="N59" s="340"/>
      <c r="O59" s="337">
        <f>O60+O70</f>
        <v>8962999</v>
      </c>
      <c r="P59" s="337">
        <f>P60+P70</f>
        <v>9789939</v>
      </c>
      <c r="Q59" s="338">
        <f t="shared" si="29"/>
        <v>826940</v>
      </c>
      <c r="R59" s="339">
        <f t="shared" si="30"/>
        <v>9.2261529874096831E-2</v>
      </c>
      <c r="S59" s="340"/>
      <c r="T59" s="337">
        <f>T60+T70</f>
        <v>8383779</v>
      </c>
      <c r="U59" s="337">
        <f>U60+U70</f>
        <v>8799543</v>
      </c>
      <c r="V59" s="338">
        <f t="shared" si="31"/>
        <v>415764</v>
      </c>
      <c r="W59" s="339">
        <f t="shared" si="32"/>
        <v>4.9591478973861312E-2</v>
      </c>
      <c r="X59" s="340"/>
    </row>
    <row r="60" spans="1:24" s="33" customFormat="1" x14ac:dyDescent="0.2">
      <c r="A60" s="35">
        <v>5100</v>
      </c>
      <c r="B60" s="57" t="s">
        <v>307</v>
      </c>
      <c r="C60" s="36">
        <f>SUM(C61:C69)</f>
        <v>5814779</v>
      </c>
      <c r="D60" s="36">
        <f>SUM(D61:D69)</f>
        <v>5509747</v>
      </c>
      <c r="E60" s="36">
        <f>SUM(E61:E69)</f>
        <v>5814779</v>
      </c>
      <c r="F60" s="36">
        <f>SUM(F61:F69)</f>
        <v>5814779</v>
      </c>
      <c r="G60" s="37">
        <f t="shared" si="25"/>
        <v>0</v>
      </c>
      <c r="H60" s="30">
        <f t="shared" si="26"/>
        <v>0</v>
      </c>
      <c r="I60" s="606"/>
      <c r="J60" s="36">
        <f>SUM(J61:J69)</f>
        <v>5814779</v>
      </c>
      <c r="K60" s="36">
        <f>SUM(K61:K69)</f>
        <v>5814779</v>
      </c>
      <c r="L60" s="37">
        <f t="shared" si="27"/>
        <v>0</v>
      </c>
      <c r="M60" s="30">
        <f t="shared" si="28"/>
        <v>0</v>
      </c>
      <c r="N60" s="606"/>
      <c r="O60" s="36">
        <f>SUM(O61:O69)</f>
        <v>5814779</v>
      </c>
      <c r="P60" s="36">
        <f>SUM(P61:P69)</f>
        <v>5814779</v>
      </c>
      <c r="Q60" s="37">
        <f t="shared" si="29"/>
        <v>0</v>
      </c>
      <c r="R60" s="30">
        <f t="shared" si="30"/>
        <v>0</v>
      </c>
      <c r="S60" s="606"/>
      <c r="T60" s="36">
        <f>SUM(T61:T69)</f>
        <v>5509747</v>
      </c>
      <c r="U60" s="36">
        <f>SUM(U61:U69)</f>
        <v>5471854</v>
      </c>
      <c r="V60" s="37">
        <f t="shared" si="31"/>
        <v>-37893</v>
      </c>
      <c r="W60" s="30">
        <f t="shared" si="32"/>
        <v>-6.8774482748481915E-3</v>
      </c>
      <c r="X60" s="618" t="s">
        <v>728</v>
      </c>
    </row>
    <row r="61" spans="1:24" x14ac:dyDescent="0.2">
      <c r="A61" s="293">
        <v>5110</v>
      </c>
      <c r="B61" s="39" t="s">
        <v>308</v>
      </c>
      <c r="C61" s="45"/>
      <c r="D61" s="40"/>
      <c r="E61" s="45"/>
      <c r="F61" s="45"/>
      <c r="G61" s="46">
        <f t="shared" si="25"/>
        <v>0</v>
      </c>
      <c r="H61" s="47" t="str">
        <f t="shared" si="26"/>
        <v>-</v>
      </c>
      <c r="I61" s="607"/>
      <c r="J61" s="45"/>
      <c r="K61" s="45"/>
      <c r="L61" s="46">
        <f t="shared" si="27"/>
        <v>0</v>
      </c>
      <c r="M61" s="47" t="str">
        <f t="shared" si="28"/>
        <v>-</v>
      </c>
      <c r="N61" s="607"/>
      <c r="O61" s="45"/>
      <c r="P61" s="45"/>
      <c r="Q61" s="46">
        <f t="shared" si="29"/>
        <v>0</v>
      </c>
      <c r="R61" s="47" t="str">
        <f t="shared" si="30"/>
        <v>-</v>
      </c>
      <c r="S61" s="607"/>
      <c r="T61" s="45"/>
      <c r="U61" s="45"/>
      <c r="V61" s="46">
        <f t="shared" si="31"/>
        <v>0</v>
      </c>
      <c r="W61" s="47" t="str">
        <f t="shared" si="32"/>
        <v>-</v>
      </c>
      <c r="X61" s="619"/>
    </row>
    <row r="62" spans="1:24" x14ac:dyDescent="0.2">
      <c r="A62" s="293">
        <v>5120</v>
      </c>
      <c r="B62" s="39" t="s">
        <v>309</v>
      </c>
      <c r="C62" s="45"/>
      <c r="D62" s="40"/>
      <c r="E62" s="45"/>
      <c r="F62" s="45"/>
      <c r="G62" s="46">
        <f t="shared" si="25"/>
        <v>0</v>
      </c>
      <c r="H62" s="47" t="str">
        <f t="shared" si="26"/>
        <v>-</v>
      </c>
      <c r="I62" s="607"/>
      <c r="J62" s="45"/>
      <c r="K62" s="45"/>
      <c r="L62" s="46">
        <f t="shared" si="27"/>
        <v>0</v>
      </c>
      <c r="M62" s="47" t="str">
        <f t="shared" si="28"/>
        <v>-</v>
      </c>
      <c r="N62" s="607"/>
      <c r="O62" s="45"/>
      <c r="P62" s="45"/>
      <c r="Q62" s="46">
        <f t="shared" si="29"/>
        <v>0</v>
      </c>
      <c r="R62" s="47" t="str">
        <f t="shared" si="30"/>
        <v>-</v>
      </c>
      <c r="S62" s="607"/>
      <c r="T62" s="45"/>
      <c r="U62" s="45"/>
      <c r="V62" s="46">
        <f t="shared" si="31"/>
        <v>0</v>
      </c>
      <c r="W62" s="47" t="str">
        <f t="shared" si="32"/>
        <v>-</v>
      </c>
      <c r="X62" s="619"/>
    </row>
    <row r="63" spans="1:24" x14ac:dyDescent="0.2">
      <c r="A63" s="293">
        <v>5130</v>
      </c>
      <c r="B63" s="39" t="s">
        <v>312</v>
      </c>
      <c r="C63" s="45"/>
      <c r="D63" s="40"/>
      <c r="E63" s="45"/>
      <c r="F63" s="45"/>
      <c r="G63" s="46">
        <f t="shared" si="25"/>
        <v>0</v>
      </c>
      <c r="H63" s="47" t="str">
        <f t="shared" si="26"/>
        <v>-</v>
      </c>
      <c r="I63" s="607"/>
      <c r="J63" s="45"/>
      <c r="K63" s="45"/>
      <c r="L63" s="46">
        <f t="shared" si="27"/>
        <v>0</v>
      </c>
      <c r="M63" s="47" t="str">
        <f t="shared" si="28"/>
        <v>-</v>
      </c>
      <c r="N63" s="607"/>
      <c r="O63" s="45"/>
      <c r="P63" s="45"/>
      <c r="Q63" s="46">
        <f t="shared" si="29"/>
        <v>0</v>
      </c>
      <c r="R63" s="47" t="str">
        <f t="shared" si="30"/>
        <v>-</v>
      </c>
      <c r="S63" s="607"/>
      <c r="T63" s="45"/>
      <c r="U63" s="45"/>
      <c r="V63" s="46">
        <f t="shared" si="31"/>
        <v>0</v>
      </c>
      <c r="W63" s="47" t="str">
        <f t="shared" si="32"/>
        <v>-</v>
      </c>
      <c r="X63" s="619"/>
    </row>
    <row r="64" spans="1:24" x14ac:dyDescent="0.2">
      <c r="A64" s="293">
        <v>5140</v>
      </c>
      <c r="B64" s="39" t="s">
        <v>313</v>
      </c>
      <c r="C64" s="45">
        <v>97309</v>
      </c>
      <c r="D64" s="40">
        <v>97309</v>
      </c>
      <c r="E64" s="45">
        <v>97309</v>
      </c>
      <c r="F64" s="45">
        <v>97309</v>
      </c>
      <c r="G64" s="46">
        <f t="shared" si="25"/>
        <v>0</v>
      </c>
      <c r="H64" s="47">
        <f t="shared" si="26"/>
        <v>0</v>
      </c>
      <c r="I64" s="607"/>
      <c r="J64" s="45">
        <v>97309</v>
      </c>
      <c r="K64" s="45">
        <v>97309</v>
      </c>
      <c r="L64" s="46">
        <f t="shared" si="27"/>
        <v>0</v>
      </c>
      <c r="M64" s="47">
        <f t="shared" si="28"/>
        <v>0</v>
      </c>
      <c r="N64" s="607"/>
      <c r="O64" s="45">
        <v>97309</v>
      </c>
      <c r="P64" s="45">
        <v>97309</v>
      </c>
      <c r="Q64" s="46">
        <f t="shared" si="29"/>
        <v>0</v>
      </c>
      <c r="R64" s="47">
        <f t="shared" si="30"/>
        <v>0</v>
      </c>
      <c r="S64" s="607"/>
      <c r="T64" s="40">
        <v>97309</v>
      </c>
      <c r="U64" s="45">
        <f>97309-48669</f>
        <v>48640</v>
      </c>
      <c r="V64" s="46">
        <f t="shared" si="31"/>
        <v>-48669</v>
      </c>
      <c r="W64" s="47">
        <f t="shared" si="32"/>
        <v>-0.5001490098552035</v>
      </c>
      <c r="X64" s="619"/>
    </row>
    <row r="65" spans="1:24" ht="31.5" x14ac:dyDescent="0.2">
      <c r="A65" s="293">
        <v>5150</v>
      </c>
      <c r="B65" s="39" t="s">
        <v>418</v>
      </c>
      <c r="C65" s="45"/>
      <c r="D65" s="40"/>
      <c r="E65" s="45"/>
      <c r="F65" s="45"/>
      <c r="G65" s="46">
        <f t="shared" si="25"/>
        <v>0</v>
      </c>
      <c r="H65" s="47" t="str">
        <f t="shared" si="26"/>
        <v>-</v>
      </c>
      <c r="I65" s="607"/>
      <c r="J65" s="45"/>
      <c r="K65" s="45"/>
      <c r="L65" s="46">
        <f t="shared" si="27"/>
        <v>0</v>
      </c>
      <c r="M65" s="47" t="str">
        <f t="shared" si="28"/>
        <v>-</v>
      </c>
      <c r="N65" s="607"/>
      <c r="O65" s="45"/>
      <c r="P65" s="45"/>
      <c r="Q65" s="46">
        <f t="shared" si="29"/>
        <v>0</v>
      </c>
      <c r="R65" s="47" t="str">
        <f t="shared" si="30"/>
        <v>-</v>
      </c>
      <c r="S65" s="607"/>
      <c r="T65" s="45"/>
      <c r="U65" s="45"/>
      <c r="V65" s="46">
        <f t="shared" si="31"/>
        <v>0</v>
      </c>
      <c r="W65" s="47" t="str">
        <f t="shared" si="32"/>
        <v>-</v>
      </c>
      <c r="X65" s="619"/>
    </row>
    <row r="66" spans="1:24" x14ac:dyDescent="0.2">
      <c r="A66" s="293">
        <v>5160</v>
      </c>
      <c r="B66" s="39" t="s">
        <v>314</v>
      </c>
      <c r="C66" s="45"/>
      <c r="D66" s="40"/>
      <c r="E66" s="45"/>
      <c r="F66" s="45"/>
      <c r="G66" s="46">
        <f t="shared" si="25"/>
        <v>0</v>
      </c>
      <c r="H66" s="47" t="str">
        <f t="shared" si="26"/>
        <v>-</v>
      </c>
      <c r="I66" s="607"/>
      <c r="J66" s="45"/>
      <c r="K66" s="45"/>
      <c r="L66" s="46">
        <f t="shared" si="27"/>
        <v>0</v>
      </c>
      <c r="M66" s="47" t="str">
        <f t="shared" si="28"/>
        <v>-</v>
      </c>
      <c r="N66" s="607"/>
      <c r="O66" s="45"/>
      <c r="P66" s="45"/>
      <c r="Q66" s="46">
        <f t="shared" si="29"/>
        <v>0</v>
      </c>
      <c r="R66" s="47" t="str">
        <f t="shared" si="30"/>
        <v>-</v>
      </c>
      <c r="S66" s="607"/>
      <c r="T66" s="45"/>
      <c r="U66" s="45"/>
      <c r="V66" s="46">
        <f t="shared" si="31"/>
        <v>0</v>
      </c>
      <c r="W66" s="47" t="str">
        <f t="shared" si="32"/>
        <v>-</v>
      </c>
      <c r="X66" s="619"/>
    </row>
    <row r="67" spans="1:24" x14ac:dyDescent="0.2">
      <c r="A67" s="293">
        <v>5170</v>
      </c>
      <c r="B67" s="39" t="s">
        <v>310</v>
      </c>
      <c r="C67" s="45">
        <v>5717470</v>
      </c>
      <c r="D67" s="40">
        <v>5412438</v>
      </c>
      <c r="E67" s="45">
        <v>5717470</v>
      </c>
      <c r="F67" s="45">
        <v>5717470</v>
      </c>
      <c r="G67" s="46">
        <f t="shared" si="25"/>
        <v>0</v>
      </c>
      <c r="H67" s="47">
        <f t="shared" si="26"/>
        <v>0</v>
      </c>
      <c r="I67" s="607"/>
      <c r="J67" s="45">
        <v>5717470</v>
      </c>
      <c r="K67" s="45">
        <v>5717470</v>
      </c>
      <c r="L67" s="46">
        <f t="shared" si="27"/>
        <v>0</v>
      </c>
      <c r="M67" s="47">
        <f t="shared" si="28"/>
        <v>0</v>
      </c>
      <c r="N67" s="607"/>
      <c r="O67" s="45">
        <v>5717470</v>
      </c>
      <c r="P67" s="45">
        <v>5717470</v>
      </c>
      <c r="Q67" s="46">
        <f t="shared" si="29"/>
        <v>0</v>
      </c>
      <c r="R67" s="47">
        <f t="shared" si="30"/>
        <v>0</v>
      </c>
      <c r="S67" s="607"/>
      <c r="T67" s="45">
        <v>5412438</v>
      </c>
      <c r="U67" s="45">
        <v>5423214</v>
      </c>
      <c r="V67" s="46">
        <f t="shared" si="31"/>
        <v>10776</v>
      </c>
      <c r="W67" s="47">
        <f t="shared" si="32"/>
        <v>1.9909696887059031E-3</v>
      </c>
      <c r="X67" s="619"/>
    </row>
    <row r="68" spans="1:24" x14ac:dyDescent="0.2">
      <c r="A68" s="293">
        <v>5180</v>
      </c>
      <c r="B68" s="39" t="s">
        <v>315</v>
      </c>
      <c r="C68" s="45"/>
      <c r="D68" s="40"/>
      <c r="E68" s="45"/>
      <c r="F68" s="45"/>
      <c r="G68" s="46">
        <f t="shared" si="25"/>
        <v>0</v>
      </c>
      <c r="H68" s="47" t="str">
        <f t="shared" si="26"/>
        <v>-</v>
      </c>
      <c r="I68" s="607"/>
      <c r="J68" s="45"/>
      <c r="K68" s="45"/>
      <c r="L68" s="46">
        <f t="shared" si="27"/>
        <v>0</v>
      </c>
      <c r="M68" s="47" t="str">
        <f t="shared" si="28"/>
        <v>-</v>
      </c>
      <c r="N68" s="607"/>
      <c r="O68" s="45"/>
      <c r="P68" s="45"/>
      <c r="Q68" s="46">
        <f t="shared" si="29"/>
        <v>0</v>
      </c>
      <c r="R68" s="47" t="str">
        <f t="shared" si="30"/>
        <v>-</v>
      </c>
      <c r="S68" s="607"/>
      <c r="T68" s="45"/>
      <c r="U68" s="45"/>
      <c r="V68" s="46">
        <f t="shared" si="31"/>
        <v>0</v>
      </c>
      <c r="W68" s="47" t="str">
        <f t="shared" si="32"/>
        <v>-</v>
      </c>
      <c r="X68" s="619"/>
    </row>
    <row r="69" spans="1:24" x14ac:dyDescent="0.2">
      <c r="A69" s="293">
        <v>5190</v>
      </c>
      <c r="B69" s="39" t="s">
        <v>419</v>
      </c>
      <c r="C69" s="45"/>
      <c r="D69" s="40"/>
      <c r="E69" s="45"/>
      <c r="F69" s="45"/>
      <c r="G69" s="46">
        <f t="shared" si="25"/>
        <v>0</v>
      </c>
      <c r="H69" s="47" t="str">
        <f t="shared" si="26"/>
        <v>-</v>
      </c>
      <c r="I69" s="611"/>
      <c r="J69" s="45"/>
      <c r="K69" s="45"/>
      <c r="L69" s="46">
        <f t="shared" si="27"/>
        <v>0</v>
      </c>
      <c r="M69" s="47" t="str">
        <f t="shared" si="28"/>
        <v>-</v>
      </c>
      <c r="N69" s="611"/>
      <c r="O69" s="45"/>
      <c r="P69" s="45"/>
      <c r="Q69" s="46">
        <f t="shared" si="29"/>
        <v>0</v>
      </c>
      <c r="R69" s="47" t="str">
        <f t="shared" si="30"/>
        <v>-</v>
      </c>
      <c r="S69" s="611"/>
      <c r="T69" s="45"/>
      <c r="U69" s="45"/>
      <c r="V69" s="46">
        <f t="shared" si="31"/>
        <v>0</v>
      </c>
      <c r="W69" s="47" t="str">
        <f t="shared" si="32"/>
        <v>-</v>
      </c>
      <c r="X69" s="620"/>
    </row>
    <row r="70" spans="1:24" s="33" customFormat="1" ht="15.75" customHeight="1" x14ac:dyDescent="0.2">
      <c r="A70" s="35">
        <v>5200</v>
      </c>
      <c r="B70" s="57" t="s">
        <v>311</v>
      </c>
      <c r="C70" s="36">
        <f>SUM(C71:C79)</f>
        <v>2880564</v>
      </c>
      <c r="D70" s="36">
        <f>SUM(D71:D79)</f>
        <v>2874032</v>
      </c>
      <c r="E70" s="36">
        <f>SUM(E71:E79)</f>
        <v>3520533</v>
      </c>
      <c r="F70" s="36">
        <f>SUM(F71:F79)</f>
        <v>3525170</v>
      </c>
      <c r="G70" s="37">
        <f t="shared" si="25"/>
        <v>4637</v>
      </c>
      <c r="H70" s="30">
        <f t="shared" si="26"/>
        <v>1.3171301050153485E-3</v>
      </c>
      <c r="I70" s="623"/>
      <c r="J70" s="36">
        <f>SUM(J71:J79)</f>
        <v>4022079</v>
      </c>
      <c r="K70" s="36">
        <f>SUM(K71:K79)</f>
        <v>4056001</v>
      </c>
      <c r="L70" s="37">
        <f t="shared" si="27"/>
        <v>33922</v>
      </c>
      <c r="M70" s="30">
        <f t="shared" si="28"/>
        <v>8.4339467225780507E-3</v>
      </c>
      <c r="N70" s="606"/>
      <c r="O70" s="36">
        <f>SUM(O71:O79)</f>
        <v>3148220</v>
      </c>
      <c r="P70" s="36">
        <f>SUM(P71:P79)</f>
        <v>3975160</v>
      </c>
      <c r="Q70" s="37">
        <f t="shared" si="29"/>
        <v>826940</v>
      </c>
      <c r="R70" s="30">
        <f t="shared" si="30"/>
        <v>0.26266906378842647</v>
      </c>
      <c r="S70" s="612" t="s">
        <v>713</v>
      </c>
      <c r="T70" s="36">
        <f>SUM(T71:T79)</f>
        <v>2874032</v>
      </c>
      <c r="U70" s="36">
        <f>SUM(U71:U79)</f>
        <v>3327689</v>
      </c>
      <c r="V70" s="37">
        <f t="shared" si="31"/>
        <v>453657</v>
      </c>
      <c r="W70" s="30">
        <f t="shared" si="32"/>
        <v>0.15784688549048861</v>
      </c>
      <c r="X70" s="618" t="s">
        <v>729</v>
      </c>
    </row>
    <row r="71" spans="1:24" ht="72.75" customHeight="1" x14ac:dyDescent="0.2">
      <c r="A71" s="293">
        <v>5210</v>
      </c>
      <c r="B71" s="39" t="s">
        <v>308</v>
      </c>
      <c r="C71" s="40"/>
      <c r="D71" s="40"/>
      <c r="E71" s="40"/>
      <c r="F71" s="40"/>
      <c r="G71" s="41">
        <f t="shared" si="25"/>
        <v>0</v>
      </c>
      <c r="H71" s="29" t="str">
        <f t="shared" si="26"/>
        <v>-</v>
      </c>
      <c r="I71" s="624"/>
      <c r="J71" s="40"/>
      <c r="K71" s="40"/>
      <c r="L71" s="41">
        <f t="shared" si="27"/>
        <v>0</v>
      </c>
      <c r="M71" s="29" t="str">
        <f t="shared" si="28"/>
        <v>-</v>
      </c>
      <c r="N71" s="607"/>
      <c r="O71" s="40"/>
      <c r="P71" s="40"/>
      <c r="Q71" s="41">
        <f t="shared" si="29"/>
        <v>0</v>
      </c>
      <c r="R71" s="29" t="str">
        <f t="shared" si="30"/>
        <v>-</v>
      </c>
      <c r="S71" s="613"/>
      <c r="T71" s="40"/>
      <c r="U71" s="40"/>
      <c r="V71" s="41">
        <f t="shared" si="31"/>
        <v>0</v>
      </c>
      <c r="W71" s="29" t="str">
        <f t="shared" si="32"/>
        <v>-</v>
      </c>
      <c r="X71" s="621"/>
    </row>
    <row r="72" spans="1:24" x14ac:dyDescent="0.2">
      <c r="A72" s="293">
        <v>5220</v>
      </c>
      <c r="B72" s="39" t="s">
        <v>309</v>
      </c>
      <c r="C72" s="40"/>
      <c r="D72" s="40"/>
      <c r="E72" s="40"/>
      <c r="F72" s="40"/>
      <c r="G72" s="41">
        <f t="shared" si="25"/>
        <v>0</v>
      </c>
      <c r="H72" s="29" t="str">
        <f t="shared" si="26"/>
        <v>-</v>
      </c>
      <c r="I72" s="624"/>
      <c r="J72" s="40"/>
      <c r="K72" s="40"/>
      <c r="L72" s="41">
        <f t="shared" si="27"/>
        <v>0</v>
      </c>
      <c r="M72" s="29" t="str">
        <f t="shared" si="28"/>
        <v>-</v>
      </c>
      <c r="N72" s="607"/>
      <c r="O72" s="40"/>
      <c r="P72" s="40"/>
      <c r="Q72" s="41">
        <f t="shared" si="29"/>
        <v>0</v>
      </c>
      <c r="R72" s="29" t="str">
        <f t="shared" si="30"/>
        <v>-</v>
      </c>
      <c r="S72" s="613"/>
      <c r="T72" s="40"/>
      <c r="U72" s="40"/>
      <c r="V72" s="41">
        <f t="shared" si="31"/>
        <v>0</v>
      </c>
      <c r="W72" s="29" t="str">
        <f t="shared" si="32"/>
        <v>-</v>
      </c>
      <c r="X72" s="621"/>
    </row>
    <row r="73" spans="1:24" x14ac:dyDescent="0.2">
      <c r="A73" s="293">
        <v>5230</v>
      </c>
      <c r="B73" s="39" t="s">
        <v>312</v>
      </c>
      <c r="C73" s="40">
        <v>9869</v>
      </c>
      <c r="D73" s="40">
        <v>10000</v>
      </c>
      <c r="E73" s="40">
        <v>19828</v>
      </c>
      <c r="F73" s="40">
        <v>19790</v>
      </c>
      <c r="G73" s="41">
        <f t="shared" si="25"/>
        <v>-38</v>
      </c>
      <c r="H73" s="29">
        <f t="shared" si="26"/>
        <v>-1.9164817429897115E-3</v>
      </c>
      <c r="I73" s="624"/>
      <c r="J73" s="40">
        <v>15700</v>
      </c>
      <c r="K73" s="40">
        <v>15662</v>
      </c>
      <c r="L73" s="41">
        <f t="shared" si="27"/>
        <v>-38</v>
      </c>
      <c r="M73" s="29">
        <f t="shared" si="28"/>
        <v>-2.4203821656050956E-3</v>
      </c>
      <c r="N73" s="607"/>
      <c r="O73" s="40">
        <v>15000</v>
      </c>
      <c r="P73" s="40">
        <v>75800</v>
      </c>
      <c r="Q73" s="41">
        <f t="shared" si="29"/>
        <v>60800</v>
      </c>
      <c r="R73" s="29">
        <f t="shared" si="30"/>
        <v>4.0533333333333337</v>
      </c>
      <c r="S73" s="613"/>
      <c r="T73" s="40">
        <v>10000</v>
      </c>
      <c r="U73" s="40">
        <v>16429</v>
      </c>
      <c r="V73" s="41">
        <f t="shared" si="31"/>
        <v>6429</v>
      </c>
      <c r="W73" s="29">
        <f t="shared" si="32"/>
        <v>0.64290000000000003</v>
      </c>
      <c r="X73" s="621"/>
    </row>
    <row r="74" spans="1:24" x14ac:dyDescent="0.2">
      <c r="A74" s="293">
        <v>5240</v>
      </c>
      <c r="B74" s="39" t="s">
        <v>313</v>
      </c>
      <c r="C74" s="40">
        <v>1095973</v>
      </c>
      <c r="D74" s="40">
        <v>1000000</v>
      </c>
      <c r="E74" s="40">
        <f>1298234-4675</f>
        <v>1293559</v>
      </c>
      <c r="F74" s="40">
        <v>1298234</v>
      </c>
      <c r="G74" s="41">
        <f t="shared" si="25"/>
        <v>4675</v>
      </c>
      <c r="H74" s="29">
        <f t="shared" si="26"/>
        <v>3.6140601240453661E-3</v>
      </c>
      <c r="I74" s="624"/>
      <c r="J74" s="40">
        <f>1841566-33960</f>
        <v>1807606</v>
      </c>
      <c r="K74" s="40">
        <f>1842537-971-52</f>
        <v>1841514</v>
      </c>
      <c r="L74" s="41">
        <f t="shared" si="27"/>
        <v>33908</v>
      </c>
      <c r="M74" s="29">
        <f t="shared" si="28"/>
        <v>1.8758512640475854E-2</v>
      </c>
      <c r="N74" s="607"/>
      <c r="O74" s="40">
        <v>1000000</v>
      </c>
      <c r="P74" s="40">
        <v>1785268</v>
      </c>
      <c r="Q74" s="41">
        <f t="shared" si="29"/>
        <v>785268</v>
      </c>
      <c r="R74" s="29">
        <f t="shared" si="30"/>
        <v>0.78526799999999997</v>
      </c>
      <c r="S74" s="613"/>
      <c r="T74" s="40">
        <f>1100000-100000</f>
        <v>1000000</v>
      </c>
      <c r="U74" s="40">
        <f>1413508+5305+48669</f>
        <v>1467482</v>
      </c>
      <c r="V74" s="41">
        <f t="shared" si="31"/>
        <v>467482</v>
      </c>
      <c r="W74" s="29">
        <f t="shared" si="32"/>
        <v>0.46748200000000001</v>
      </c>
      <c r="X74" s="621"/>
    </row>
    <row r="75" spans="1:24" ht="31.5" x14ac:dyDescent="0.2">
      <c r="A75" s="293">
        <v>5250</v>
      </c>
      <c r="B75" s="39" t="s">
        <v>418</v>
      </c>
      <c r="C75" s="40">
        <v>619295</v>
      </c>
      <c r="D75" s="40">
        <v>620000</v>
      </c>
      <c r="E75" s="40">
        <v>537906</v>
      </c>
      <c r="F75" s="40">
        <v>537906</v>
      </c>
      <c r="G75" s="41">
        <f t="shared" si="25"/>
        <v>0</v>
      </c>
      <c r="H75" s="29">
        <f t="shared" si="26"/>
        <v>0</v>
      </c>
      <c r="I75" s="624"/>
      <c r="J75" s="40">
        <v>589464</v>
      </c>
      <c r="K75" s="40">
        <f>589464+52</f>
        <v>589516</v>
      </c>
      <c r="L75" s="41">
        <f t="shared" si="27"/>
        <v>52</v>
      </c>
      <c r="M75" s="29">
        <f t="shared" si="28"/>
        <v>8.8215734972788842E-5</v>
      </c>
      <c r="N75" s="607"/>
      <c r="O75" s="40">
        <v>600000</v>
      </c>
      <c r="P75" s="40">
        <v>576005</v>
      </c>
      <c r="Q75" s="41">
        <f t="shared" si="29"/>
        <v>-23995</v>
      </c>
      <c r="R75" s="29">
        <f t="shared" si="30"/>
        <v>-3.9991666666666668E-2</v>
      </c>
      <c r="S75" s="613"/>
      <c r="T75" s="40">
        <v>620000</v>
      </c>
      <c r="U75" s="40">
        <v>593722</v>
      </c>
      <c r="V75" s="41">
        <f t="shared" si="31"/>
        <v>-26278</v>
      </c>
      <c r="W75" s="29">
        <f t="shared" si="32"/>
        <v>-4.2383870967741932E-2</v>
      </c>
      <c r="X75" s="621"/>
    </row>
    <row r="76" spans="1:24" x14ac:dyDescent="0.2">
      <c r="A76" s="293">
        <v>5260</v>
      </c>
      <c r="B76" s="39" t="s">
        <v>314</v>
      </c>
      <c r="C76" s="40">
        <v>89236</v>
      </c>
      <c r="D76" s="40">
        <v>89000</v>
      </c>
      <c r="E76" s="40">
        <v>679303</v>
      </c>
      <c r="F76" s="40">
        <v>679303</v>
      </c>
      <c r="G76" s="41">
        <f t="shared" si="25"/>
        <v>0</v>
      </c>
      <c r="H76" s="29">
        <f t="shared" si="26"/>
        <v>0</v>
      </c>
      <c r="I76" s="624"/>
      <c r="J76" s="40">
        <v>718331</v>
      </c>
      <c r="K76" s="40">
        <v>718331</v>
      </c>
      <c r="L76" s="41">
        <f t="shared" si="27"/>
        <v>0</v>
      </c>
      <c r="M76" s="29">
        <f t="shared" si="28"/>
        <v>0</v>
      </c>
      <c r="N76" s="607"/>
      <c r="O76" s="40">
        <v>718500</v>
      </c>
      <c r="P76" s="40">
        <v>723367</v>
      </c>
      <c r="Q76" s="41">
        <f t="shared" si="29"/>
        <v>4867</v>
      </c>
      <c r="R76" s="29">
        <f t="shared" si="30"/>
        <v>6.7738343771746694E-3</v>
      </c>
      <c r="S76" s="613"/>
      <c r="T76" s="40">
        <v>89000</v>
      </c>
      <c r="U76" s="40">
        <f>65003+2651</f>
        <v>67654</v>
      </c>
      <c r="V76" s="41">
        <f t="shared" si="31"/>
        <v>-21346</v>
      </c>
      <c r="W76" s="29">
        <f t="shared" si="32"/>
        <v>-0.23984269662921348</v>
      </c>
      <c r="X76" s="621"/>
    </row>
    <row r="77" spans="1:24" x14ac:dyDescent="0.2">
      <c r="A77" s="293">
        <v>5270</v>
      </c>
      <c r="B77" s="39" t="s">
        <v>310</v>
      </c>
      <c r="C77" s="40">
        <v>305032</v>
      </c>
      <c r="D77" s="40">
        <v>305032</v>
      </c>
      <c r="E77" s="40">
        <v>228774</v>
      </c>
      <c r="F77" s="40">
        <v>228774</v>
      </c>
      <c r="G77" s="41">
        <f t="shared" si="25"/>
        <v>0</v>
      </c>
      <c r="H77" s="29">
        <f t="shared" si="26"/>
        <v>0</v>
      </c>
      <c r="I77" s="624"/>
      <c r="J77" s="40">
        <v>152516</v>
      </c>
      <c r="K77" s="40">
        <v>152516</v>
      </c>
      <c r="L77" s="41">
        <f t="shared" si="27"/>
        <v>0</v>
      </c>
      <c r="M77" s="29">
        <f t="shared" si="28"/>
        <v>0</v>
      </c>
      <c r="N77" s="607"/>
      <c r="O77" s="40">
        <v>76258</v>
      </c>
      <c r="P77" s="40">
        <v>76258</v>
      </c>
      <c r="Q77" s="41">
        <f t="shared" si="29"/>
        <v>0</v>
      </c>
      <c r="R77" s="29">
        <f t="shared" si="30"/>
        <v>0</v>
      </c>
      <c r="S77" s="613"/>
      <c r="T77" s="40">
        <v>305032</v>
      </c>
      <c r="U77" s="40">
        <v>294255</v>
      </c>
      <c r="V77" s="41">
        <f t="shared" si="31"/>
        <v>-10777</v>
      </c>
      <c r="W77" s="29">
        <f t="shared" si="32"/>
        <v>-3.5330719399931813E-2</v>
      </c>
      <c r="X77" s="621"/>
    </row>
    <row r="78" spans="1:24" x14ac:dyDescent="0.2">
      <c r="A78" s="293">
        <v>5280</v>
      </c>
      <c r="B78" s="39" t="s">
        <v>315</v>
      </c>
      <c r="C78" s="40">
        <v>761159</v>
      </c>
      <c r="D78" s="40">
        <v>850000</v>
      </c>
      <c r="E78" s="40">
        <f>22701+738462</f>
        <v>761163</v>
      </c>
      <c r="F78" s="40">
        <v>761163</v>
      </c>
      <c r="G78" s="41">
        <f t="shared" si="25"/>
        <v>0</v>
      </c>
      <c r="H78" s="29">
        <f t="shared" si="26"/>
        <v>0</v>
      </c>
      <c r="I78" s="624"/>
      <c r="J78" s="40">
        <v>738462</v>
      </c>
      <c r="K78" s="40">
        <f>738462</f>
        <v>738462</v>
      </c>
      <c r="L78" s="41">
        <f t="shared" si="27"/>
        <v>0</v>
      </c>
      <c r="M78" s="29">
        <f t="shared" si="28"/>
        <v>0</v>
      </c>
      <c r="N78" s="607"/>
      <c r="O78" s="40">
        <v>738462</v>
      </c>
      <c r="P78" s="40">
        <v>738462</v>
      </c>
      <c r="Q78" s="41">
        <f t="shared" si="29"/>
        <v>0</v>
      </c>
      <c r="R78" s="29">
        <f t="shared" si="30"/>
        <v>0</v>
      </c>
      <c r="S78" s="613"/>
      <c r="T78" s="40">
        <v>850000</v>
      </c>
      <c r="U78" s="40">
        <f>864623+23524</f>
        <v>888147</v>
      </c>
      <c r="V78" s="41">
        <f t="shared" si="31"/>
        <v>38147</v>
      </c>
      <c r="W78" s="29">
        <f t="shared" si="32"/>
        <v>4.4878823529411763E-2</v>
      </c>
      <c r="X78" s="621"/>
    </row>
    <row r="79" spans="1:24" x14ac:dyDescent="0.2">
      <c r="A79" s="293">
        <v>5290</v>
      </c>
      <c r="B79" s="39" t="s">
        <v>419</v>
      </c>
      <c r="C79" s="40"/>
      <c r="D79" s="40"/>
      <c r="E79" s="40"/>
      <c r="F79" s="40"/>
      <c r="G79" s="41">
        <f t="shared" si="25"/>
        <v>0</v>
      </c>
      <c r="H79" s="29" t="str">
        <f t="shared" si="26"/>
        <v>-</v>
      </c>
      <c r="I79" s="625"/>
      <c r="J79" s="40"/>
      <c r="K79" s="40"/>
      <c r="L79" s="41">
        <f t="shared" si="27"/>
        <v>0</v>
      </c>
      <c r="M79" s="29" t="str">
        <f t="shared" si="28"/>
        <v>-</v>
      </c>
      <c r="N79" s="611"/>
      <c r="O79" s="40"/>
      <c r="P79" s="40"/>
      <c r="Q79" s="41">
        <f t="shared" si="29"/>
        <v>0</v>
      </c>
      <c r="R79" s="29" t="str">
        <f t="shared" si="30"/>
        <v>-</v>
      </c>
      <c r="S79" s="614"/>
      <c r="T79" s="40"/>
      <c r="U79" s="40"/>
      <c r="V79" s="41">
        <f t="shared" si="31"/>
        <v>0</v>
      </c>
      <c r="W79" s="29" t="str">
        <f t="shared" si="32"/>
        <v>-</v>
      </c>
      <c r="X79" s="622"/>
    </row>
    <row r="80" spans="1:24" s="33" customFormat="1" x14ac:dyDescent="0.2">
      <c r="A80" s="353"/>
      <c r="B80" s="346" t="s">
        <v>565</v>
      </c>
      <c r="C80" s="347">
        <f>C59+C58+C49</f>
        <v>15708434</v>
      </c>
      <c r="D80" s="347">
        <f>D59+D58+D49</f>
        <v>15200227</v>
      </c>
      <c r="E80" s="347">
        <f>E59+E58+E49</f>
        <v>15687088</v>
      </c>
      <c r="F80" s="347">
        <f>F59+F58+F49</f>
        <v>15686588</v>
      </c>
      <c r="G80" s="348">
        <f t="shared" si="25"/>
        <v>-500</v>
      </c>
      <c r="H80" s="349">
        <f t="shared" si="26"/>
        <v>-3.1873347048222081E-5</v>
      </c>
      <c r="I80" s="469"/>
      <c r="J80" s="347">
        <f>J59+J58+J49</f>
        <v>15507145</v>
      </c>
      <c r="K80" s="347">
        <f>K59+K58+K49</f>
        <v>15506517</v>
      </c>
      <c r="L80" s="348">
        <f t="shared" si="27"/>
        <v>-628</v>
      </c>
      <c r="M80" s="349">
        <f t="shared" si="28"/>
        <v>-4.0497461009102578E-5</v>
      </c>
      <c r="N80" s="350"/>
      <c r="O80" s="347">
        <f>O59+O58+O49</f>
        <v>15794489</v>
      </c>
      <c r="P80" s="347">
        <f>P59+P58+P49</f>
        <v>15559574</v>
      </c>
      <c r="Q80" s="348">
        <f t="shared" si="29"/>
        <v>-234915</v>
      </c>
      <c r="R80" s="349">
        <f t="shared" si="30"/>
        <v>-1.4873225718160302E-2</v>
      </c>
      <c r="S80" s="350"/>
      <c r="T80" s="347">
        <f>T59+T58+T49</f>
        <v>15200227</v>
      </c>
      <c r="U80" s="347">
        <f>U59+U58+U49</f>
        <v>14807747</v>
      </c>
      <c r="V80" s="348">
        <f t="shared" si="31"/>
        <v>-392480</v>
      </c>
      <c r="W80" s="349">
        <f t="shared" si="32"/>
        <v>-2.5820667020301738E-2</v>
      </c>
      <c r="X80" s="350"/>
    </row>
    <row r="81" spans="1:24" x14ac:dyDescent="0.2">
      <c r="A81" s="627"/>
      <c r="B81" s="628"/>
      <c r="C81" s="628"/>
      <c r="D81" s="628"/>
      <c r="E81" s="628"/>
      <c r="F81" s="628"/>
      <c r="G81" s="628"/>
      <c r="H81" s="628"/>
      <c r="I81" s="628"/>
      <c r="L81" s="42"/>
      <c r="M81" s="42"/>
      <c r="Q81" s="42"/>
      <c r="R81" s="42"/>
      <c r="V81" s="42"/>
      <c r="W81" s="42"/>
    </row>
    <row r="82" spans="1:24" s="33" customFormat="1" x14ac:dyDescent="0.2">
      <c r="A82" s="354" t="s">
        <v>148</v>
      </c>
      <c r="B82" s="323" t="s">
        <v>566</v>
      </c>
      <c r="C82" s="337">
        <f>SUM(C83:C84)</f>
        <v>8695343</v>
      </c>
      <c r="D82" s="337">
        <f t="shared" ref="D82:F82" si="42">SUM(D83:D84)</f>
        <v>8383779</v>
      </c>
      <c r="E82" s="337">
        <f t="shared" si="42"/>
        <v>9335312</v>
      </c>
      <c r="F82" s="337">
        <f t="shared" si="42"/>
        <v>9339949</v>
      </c>
      <c r="G82" s="338">
        <f t="shared" ref="G82:G84" si="43">F82-E82</f>
        <v>4637</v>
      </c>
      <c r="H82" s="339">
        <f t="shared" si="26"/>
        <v>4.9671612475298097E-4</v>
      </c>
      <c r="I82" s="469"/>
      <c r="J82" s="337">
        <f t="shared" ref="J82:K82" si="44">SUM(J83:J84)</f>
        <v>9836858</v>
      </c>
      <c r="K82" s="337">
        <f t="shared" si="44"/>
        <v>9870780</v>
      </c>
      <c r="L82" s="338">
        <f t="shared" ref="L82:L84" si="45">K82-J82</f>
        <v>33922</v>
      </c>
      <c r="M82" s="339">
        <f t="shared" ref="M82:M84" si="46">IFERROR(L82/ABS(J82), "-")</f>
        <v>3.4484588473270633E-3</v>
      </c>
      <c r="N82" s="340"/>
      <c r="O82" s="337">
        <f t="shared" ref="O82:P82" si="47">SUM(O83:O84)</f>
        <v>8962999</v>
      </c>
      <c r="P82" s="337">
        <f t="shared" si="47"/>
        <v>9789939</v>
      </c>
      <c r="Q82" s="338">
        <f t="shared" ref="Q82:Q84" si="48">P82-O82</f>
        <v>826940</v>
      </c>
      <c r="R82" s="339">
        <f t="shared" ref="R82:R84" si="49">IFERROR(Q82/ABS(O82), "-")</f>
        <v>9.2261529874096831E-2</v>
      </c>
      <c r="S82" s="340"/>
      <c r="T82" s="337">
        <f t="shared" ref="T82:U82" si="50">SUM(T83:T84)</f>
        <v>8383779</v>
      </c>
      <c r="U82" s="337">
        <f t="shared" si="50"/>
        <v>8799543</v>
      </c>
      <c r="V82" s="338">
        <f t="shared" ref="V82:V84" si="51">U82-T82</f>
        <v>415764</v>
      </c>
      <c r="W82" s="339">
        <f t="shared" ref="W82:W84" si="52">IFERROR(V82/ABS(T82), "-")</f>
        <v>4.9591478973861312E-2</v>
      </c>
      <c r="X82" s="340"/>
    </row>
    <row r="83" spans="1:24" s="33" customFormat="1" x14ac:dyDescent="0.2">
      <c r="A83" s="35">
        <v>5100</v>
      </c>
      <c r="B83" s="63" t="s">
        <v>324</v>
      </c>
      <c r="C83" s="36">
        <f>C60</f>
        <v>5814779</v>
      </c>
      <c r="D83" s="36">
        <f>D60</f>
        <v>5509747</v>
      </c>
      <c r="E83" s="36">
        <f>E60</f>
        <v>5814779</v>
      </c>
      <c r="F83" s="36">
        <f>F60</f>
        <v>5814779</v>
      </c>
      <c r="G83" s="37">
        <f t="shared" si="43"/>
        <v>0</v>
      </c>
      <c r="H83" s="30">
        <f t="shared" si="26"/>
        <v>0</v>
      </c>
      <c r="I83" s="469"/>
      <c r="J83" s="36">
        <f>J60</f>
        <v>5814779</v>
      </c>
      <c r="K83" s="36">
        <f>K60</f>
        <v>5814779</v>
      </c>
      <c r="L83" s="37">
        <f t="shared" si="45"/>
        <v>0</v>
      </c>
      <c r="M83" s="30">
        <f t="shared" si="46"/>
        <v>0</v>
      </c>
      <c r="N83" s="335"/>
      <c r="O83" s="36">
        <f>O60</f>
        <v>5814779</v>
      </c>
      <c r="P83" s="36">
        <f>P60</f>
        <v>5814779</v>
      </c>
      <c r="Q83" s="37">
        <f t="shared" si="48"/>
        <v>0</v>
      </c>
      <c r="R83" s="30">
        <f t="shared" si="49"/>
        <v>0</v>
      </c>
      <c r="S83" s="335"/>
      <c r="T83" s="36">
        <f>T60</f>
        <v>5509747</v>
      </c>
      <c r="U83" s="36">
        <f>U60</f>
        <v>5471854</v>
      </c>
      <c r="V83" s="37">
        <f t="shared" si="51"/>
        <v>-37893</v>
      </c>
      <c r="W83" s="30">
        <f t="shared" si="52"/>
        <v>-6.8774482748481915E-3</v>
      </c>
      <c r="X83" s="335"/>
    </row>
    <row r="84" spans="1:24" s="33" customFormat="1" x14ac:dyDescent="0.2">
      <c r="A84" s="35">
        <v>5200</v>
      </c>
      <c r="B84" s="64" t="s">
        <v>325</v>
      </c>
      <c r="C84" s="36">
        <f>C70</f>
        <v>2880564</v>
      </c>
      <c r="D84" s="36">
        <f t="shared" ref="D84:F84" si="53">D70</f>
        <v>2874032</v>
      </c>
      <c r="E84" s="36">
        <f t="shared" si="53"/>
        <v>3520533</v>
      </c>
      <c r="F84" s="36">
        <f t="shared" si="53"/>
        <v>3525170</v>
      </c>
      <c r="G84" s="37">
        <f t="shared" si="43"/>
        <v>4637</v>
      </c>
      <c r="H84" s="30">
        <f t="shared" si="26"/>
        <v>1.3171301050153485E-3</v>
      </c>
      <c r="I84" s="469"/>
      <c r="J84" s="36">
        <f t="shared" ref="J84:K84" si="54">J70</f>
        <v>4022079</v>
      </c>
      <c r="K84" s="36">
        <f t="shared" si="54"/>
        <v>4056001</v>
      </c>
      <c r="L84" s="37">
        <f t="shared" si="45"/>
        <v>33922</v>
      </c>
      <c r="M84" s="30">
        <f t="shared" si="46"/>
        <v>8.4339467225780507E-3</v>
      </c>
      <c r="N84" s="335"/>
      <c r="O84" s="36">
        <f t="shared" ref="O84:P84" si="55">O70</f>
        <v>3148220</v>
      </c>
      <c r="P84" s="526">
        <f t="shared" si="55"/>
        <v>3975160</v>
      </c>
      <c r="Q84" s="37">
        <f t="shared" si="48"/>
        <v>826940</v>
      </c>
      <c r="R84" s="30">
        <f t="shared" si="49"/>
        <v>0.26266906378842647</v>
      </c>
      <c r="S84" s="335"/>
      <c r="T84" s="36">
        <f t="shared" ref="T84:U84" si="56">T70</f>
        <v>2874032</v>
      </c>
      <c r="U84" s="36">
        <f t="shared" si="56"/>
        <v>3327689</v>
      </c>
      <c r="V84" s="37">
        <f t="shared" si="51"/>
        <v>453657</v>
      </c>
      <c r="W84" s="30">
        <f t="shared" si="52"/>
        <v>0.15784688549048861</v>
      </c>
      <c r="X84" s="335"/>
    </row>
    <row r="85" spans="1:24" s="33" customFormat="1" x14ac:dyDescent="0.2">
      <c r="A85" s="49"/>
      <c r="B85" s="50"/>
      <c r="C85" s="51"/>
      <c r="D85" s="51"/>
      <c r="E85" s="51"/>
      <c r="F85" s="51"/>
      <c r="G85" s="52"/>
      <c r="H85" s="53"/>
      <c r="I85" s="54"/>
      <c r="J85" s="51"/>
      <c r="K85" s="51"/>
      <c r="L85" s="52"/>
      <c r="M85" s="53"/>
      <c r="N85" s="54"/>
      <c r="O85" s="51"/>
      <c r="P85" s="527"/>
      <c r="Q85" s="52"/>
      <c r="R85" s="53"/>
      <c r="S85" s="54"/>
      <c r="T85" s="51"/>
      <c r="U85" s="51"/>
      <c r="V85" s="52"/>
      <c r="W85" s="53"/>
      <c r="X85" s="54"/>
    </row>
    <row r="86" spans="1:24" x14ac:dyDescent="0.2">
      <c r="A86" s="596" t="s">
        <v>441</v>
      </c>
      <c r="B86" s="596"/>
      <c r="P86" s="528"/>
    </row>
    <row r="87" spans="1:24" ht="21.6" customHeight="1" x14ac:dyDescent="0.2">
      <c r="A87" s="626" t="s">
        <v>445</v>
      </c>
      <c r="B87" s="626"/>
      <c r="C87" s="626"/>
      <c r="D87" s="626"/>
      <c r="E87" s="626"/>
      <c r="F87" s="626"/>
      <c r="G87" s="626"/>
      <c r="H87" s="65"/>
      <c r="I87" s="65"/>
      <c r="J87" s="65"/>
      <c r="K87" s="65"/>
      <c r="L87" s="65"/>
      <c r="M87" s="65"/>
      <c r="N87" s="65"/>
      <c r="O87" s="65"/>
      <c r="P87" s="528"/>
    </row>
    <row r="88" spans="1:24" x14ac:dyDescent="0.2">
      <c r="P88" s="528"/>
    </row>
    <row r="89" spans="1:24" x14ac:dyDescent="0.2">
      <c r="P89" s="528"/>
    </row>
    <row r="90" spans="1:24" x14ac:dyDescent="0.2">
      <c r="P90" s="528"/>
    </row>
    <row r="91" spans="1:24" x14ac:dyDescent="0.2">
      <c r="P91" s="528"/>
    </row>
    <row r="92" spans="1:24" x14ac:dyDescent="0.2">
      <c r="P92" s="528"/>
    </row>
    <row r="93" spans="1:24" x14ac:dyDescent="0.2">
      <c r="P93" s="528"/>
    </row>
    <row r="94" spans="1:24" x14ac:dyDescent="0.2">
      <c r="P94" s="528"/>
    </row>
  </sheetData>
  <sheetProtection formatCells="0" formatColumns="0" formatRows="0"/>
  <mergeCells count="30">
    <mergeCell ref="N26:N35"/>
    <mergeCell ref="I26:I35"/>
    <mergeCell ref="X26:X35"/>
    <mergeCell ref="I11:I20"/>
    <mergeCell ref="N11:N20"/>
    <mergeCell ref="S11:S20"/>
    <mergeCell ref="I4:I10"/>
    <mergeCell ref="N4:N10"/>
    <mergeCell ref="S4:S10"/>
    <mergeCell ref="X4:X10"/>
    <mergeCell ref="A87:G87"/>
    <mergeCell ref="A86:B86"/>
    <mergeCell ref="I55:I57"/>
    <mergeCell ref="I52:I54"/>
    <mergeCell ref="A81:I81"/>
    <mergeCell ref="I60:I69"/>
    <mergeCell ref="I70:I79"/>
    <mergeCell ref="N52:N54"/>
    <mergeCell ref="N55:N57"/>
    <mergeCell ref="N60:N69"/>
    <mergeCell ref="N70:N79"/>
    <mergeCell ref="S26:S35"/>
    <mergeCell ref="S52:S54"/>
    <mergeCell ref="S55:S57"/>
    <mergeCell ref="S60:S69"/>
    <mergeCell ref="S70:S79"/>
    <mergeCell ref="X52:X54"/>
    <mergeCell ref="X55:X57"/>
    <mergeCell ref="X60:X69"/>
    <mergeCell ref="X70:X79"/>
  </mergeCells>
  <pageMargins left="0.23622047244094491" right="0.23622047244094491" top="0.55118110236220474" bottom="0.35433070866141736" header="0.31496062992125984" footer="0.31496062992125984"/>
  <pageSetup paperSize="9" scale="26" fitToHeight="0" orientation="landscape" verticalDpi="90" r:id="rId1"/>
  <headerFooter>
    <oddHeader>&amp;C&amp;"Times New Roman,Bold"&amp;14Bilance&amp;R&amp;"Times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X57"/>
  <sheetViews>
    <sheetView tabSelected="1" view="pageBreakPreview" topLeftCell="B1" zoomScaleNormal="70" zoomScaleSheetLayoutView="100" zoomScalePageLayoutView="40" workbookViewId="0">
      <pane ySplit="1" topLeftCell="A32" activePane="bottomLeft" state="frozen"/>
      <selection pane="bottomLeft" activeCell="AA32" sqref="AA32"/>
    </sheetView>
  </sheetViews>
  <sheetFormatPr defaultColWidth="9.140625" defaultRowHeight="15.75" outlineLevelCol="1" x14ac:dyDescent="0.2"/>
  <cols>
    <col min="1" max="1" width="8.42578125" style="196" bestFit="1" customWidth="1"/>
    <col min="2" max="2" width="52" style="33" customWidth="1"/>
    <col min="3" max="3" width="18.28515625" style="33" hidden="1" customWidth="1"/>
    <col min="4" max="4" width="20.85546875" style="197" hidden="1" customWidth="1"/>
    <col min="5" max="5" width="21.42578125" style="33" hidden="1" customWidth="1"/>
    <col min="6" max="6" width="20.85546875" style="33" hidden="1" customWidth="1" outlineLevel="1"/>
    <col min="7" max="7" width="22" style="66" hidden="1" customWidth="1" outlineLevel="1"/>
    <col min="8" max="8" width="21.5703125" style="66" hidden="1" customWidth="1" outlineLevel="1"/>
    <col min="9" max="9" width="37.28515625" style="33" hidden="1" customWidth="1" outlineLevel="1"/>
    <col min="10" max="10" width="21.42578125" style="33" hidden="1" customWidth="1" collapsed="1"/>
    <col min="11" max="11" width="20.85546875" style="33" hidden="1" customWidth="1" outlineLevel="1"/>
    <col min="12" max="12" width="20.85546875" style="66" hidden="1" customWidth="1" outlineLevel="1"/>
    <col min="13" max="13" width="21.5703125" style="66" hidden="1" customWidth="1" outlineLevel="1"/>
    <col min="14" max="14" width="37.28515625" style="33" hidden="1" customWidth="1" outlineLevel="1"/>
    <col min="15" max="15" width="21.42578125" style="33" hidden="1" customWidth="1" collapsed="1"/>
    <col min="16" max="16" width="20.85546875" style="33" hidden="1" customWidth="1" outlineLevel="1"/>
    <col min="17" max="17" width="21.42578125" style="66" hidden="1" customWidth="1" outlineLevel="1"/>
    <col min="18" max="18" width="21.5703125" style="66" hidden="1" customWidth="1" outlineLevel="1"/>
    <col min="19" max="19" width="37.28515625" style="33" hidden="1" customWidth="1" outlineLevel="1"/>
    <col min="20" max="20" width="21.42578125" style="33" hidden="1" customWidth="1" collapsed="1"/>
    <col min="21" max="21" width="20.85546875" style="33" customWidth="1" outlineLevel="1"/>
    <col min="22" max="22" width="20.42578125" style="66" customWidth="1" outlineLevel="1"/>
    <col min="23" max="23" width="21.5703125" style="66" customWidth="1" outlineLevel="1"/>
    <col min="24" max="24" width="37.28515625" style="33" customWidth="1" outlineLevel="1"/>
    <col min="25" max="16384" width="9.140625" style="33"/>
  </cols>
  <sheetData>
    <row r="1" spans="1:24" ht="63" x14ac:dyDescent="0.2">
      <c r="A1" s="24" t="s">
        <v>0</v>
      </c>
      <c r="B1" s="32" t="s">
        <v>510</v>
      </c>
      <c r="C1" s="25" t="s">
        <v>567</v>
      </c>
      <c r="D1" s="25" t="s">
        <v>585</v>
      </c>
      <c r="E1" s="25" t="s">
        <v>569</v>
      </c>
      <c r="F1" s="25" t="s">
        <v>581</v>
      </c>
      <c r="G1" s="26" t="s">
        <v>572</v>
      </c>
      <c r="H1" s="27" t="s">
        <v>573</v>
      </c>
      <c r="I1" s="25" t="s">
        <v>509</v>
      </c>
      <c r="J1" s="25" t="s">
        <v>570</v>
      </c>
      <c r="K1" s="25" t="s">
        <v>571</v>
      </c>
      <c r="L1" s="26" t="s">
        <v>572</v>
      </c>
      <c r="M1" s="27" t="s">
        <v>405</v>
      </c>
      <c r="N1" s="25" t="s">
        <v>509</v>
      </c>
      <c r="O1" s="25" t="s">
        <v>575</v>
      </c>
      <c r="P1" s="25" t="s">
        <v>576</v>
      </c>
      <c r="Q1" s="26" t="s">
        <v>572</v>
      </c>
      <c r="R1" s="27" t="s">
        <v>573</v>
      </c>
      <c r="S1" s="25" t="s">
        <v>509</v>
      </c>
      <c r="T1" s="25" t="s">
        <v>577</v>
      </c>
      <c r="U1" s="25" t="s">
        <v>578</v>
      </c>
      <c r="V1" s="26" t="s">
        <v>572</v>
      </c>
      <c r="W1" s="27" t="s">
        <v>573</v>
      </c>
      <c r="X1" s="25" t="s">
        <v>509</v>
      </c>
    </row>
    <row r="2" spans="1:24" ht="12" customHeight="1" x14ac:dyDescent="0.2">
      <c r="A2" s="34">
        <v>1</v>
      </c>
      <c r="B2" s="25">
        <v>2</v>
      </c>
      <c r="C2" s="25">
        <v>3</v>
      </c>
      <c r="D2" s="25">
        <v>4</v>
      </c>
      <c r="E2" s="25">
        <v>5</v>
      </c>
      <c r="F2" s="25">
        <v>6</v>
      </c>
      <c r="G2" s="26">
        <v>7</v>
      </c>
      <c r="H2" s="28" t="s">
        <v>582</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4" ht="15.6" customHeight="1" x14ac:dyDescent="0.2">
      <c r="A3" s="115">
        <v>10000</v>
      </c>
      <c r="B3" s="63" t="s">
        <v>149</v>
      </c>
      <c r="C3" s="116">
        <v>707278</v>
      </c>
      <c r="D3" s="117">
        <v>327840.4299999997</v>
      </c>
      <c r="E3" s="117">
        <v>327840.4299999997</v>
      </c>
      <c r="F3" s="118">
        <v>327840</v>
      </c>
      <c r="G3" s="119">
        <f>F3-E3</f>
        <v>-0.42999999970197678</v>
      </c>
      <c r="H3" s="30">
        <f>IFERROR(G3/ABS(E3), "-")</f>
        <v>-1.3116137009153421E-6</v>
      </c>
      <c r="I3" s="333"/>
      <c r="J3" s="118">
        <v>327840.4299999997</v>
      </c>
      <c r="K3" s="118">
        <v>327840</v>
      </c>
      <c r="L3" s="119">
        <f>K3-J3</f>
        <v>-0.42999999970197678</v>
      </c>
      <c r="M3" s="30">
        <f>IFERROR(L3/ABS(J3), "-")</f>
        <v>-1.3116137009153421E-6</v>
      </c>
      <c r="N3" s="333"/>
      <c r="O3" s="118">
        <v>327840.4299999997</v>
      </c>
      <c r="P3" s="118">
        <v>327840</v>
      </c>
      <c r="Q3" s="119">
        <f>P3-O3</f>
        <v>-0.42999999970197678</v>
      </c>
      <c r="R3" s="30">
        <f>IFERROR(Q3/ABS(O3), "-")</f>
        <v>-1.3116137009153421E-6</v>
      </c>
      <c r="S3" s="333"/>
      <c r="T3" s="118">
        <v>327840.43</v>
      </c>
      <c r="U3" s="118">
        <v>327840</v>
      </c>
      <c r="V3" s="119">
        <f>U3-T3</f>
        <v>-0.42999999999301508</v>
      </c>
      <c r="W3" s="30">
        <f>IFERROR(V3/ABS(T3), "-")</f>
        <v>-1.3116137018030848E-6</v>
      </c>
      <c r="X3" s="333"/>
    </row>
    <row r="4" spans="1:24" ht="15.6" customHeight="1" x14ac:dyDescent="0.2">
      <c r="A4" s="326" t="s">
        <v>158</v>
      </c>
      <c r="B4" s="640" t="s">
        <v>150</v>
      </c>
      <c r="C4" s="640"/>
      <c r="D4" s="640"/>
      <c r="E4" s="640"/>
      <c r="F4" s="640"/>
      <c r="G4" s="640"/>
      <c r="H4" s="327"/>
      <c r="I4" s="328"/>
      <c r="J4" s="329"/>
      <c r="K4" s="329"/>
      <c r="L4" s="329"/>
      <c r="M4" s="327"/>
      <c r="N4" s="328"/>
      <c r="O4" s="329"/>
      <c r="P4" s="329"/>
      <c r="Q4" s="329"/>
      <c r="R4" s="327"/>
      <c r="S4" s="328"/>
      <c r="T4" s="329"/>
      <c r="U4" s="329"/>
      <c r="V4" s="329"/>
      <c r="W4" s="327"/>
      <c r="X4" s="328"/>
    </row>
    <row r="5" spans="1:24" ht="15.6" customHeight="1" x14ac:dyDescent="0.2">
      <c r="A5" s="115">
        <v>11000</v>
      </c>
      <c r="B5" s="63" t="s">
        <v>151</v>
      </c>
      <c r="C5" s="117">
        <f>C6+C11+C12+C13+C14+C15</f>
        <v>24163598</v>
      </c>
      <c r="D5" s="117">
        <f>D6+D11+D12+D13+D14+D15</f>
        <v>26306987</v>
      </c>
      <c r="E5" s="117">
        <f>E6+E11+E12+E13+E14+E15</f>
        <v>6766332.1500000004</v>
      </c>
      <c r="F5" s="117">
        <v>6766332.1500000004</v>
      </c>
      <c r="G5" s="120">
        <f t="shared" ref="G5:G19" si="0">F5-E5</f>
        <v>0</v>
      </c>
      <c r="H5" s="121">
        <f t="shared" ref="H5:H54" si="1">IFERROR(G5/ABS(E5), "-")</f>
        <v>0</v>
      </c>
      <c r="I5" s="331"/>
      <c r="J5" s="117">
        <f>J6+J11+J12+J13+J14+J15</f>
        <v>12837651.580000002</v>
      </c>
      <c r="K5" s="117">
        <v>12837651.580000002</v>
      </c>
      <c r="L5" s="120">
        <f t="shared" ref="L5:L19" si="2">K5-J5</f>
        <v>0</v>
      </c>
      <c r="M5" s="121">
        <f t="shared" ref="M5:M54" si="3">IFERROR(L5/ABS(J5), "-")</f>
        <v>0</v>
      </c>
      <c r="N5" s="331"/>
      <c r="O5" s="117">
        <v>19078924</v>
      </c>
      <c r="P5" s="117">
        <f>P6+P11+P12+P13+P14+P15</f>
        <v>19469918.200000003</v>
      </c>
      <c r="Q5" s="120">
        <f t="shared" ref="Q5:Q19" si="4">P5-O5</f>
        <v>390994.20000000298</v>
      </c>
      <c r="R5" s="121">
        <f t="shared" ref="R5:R54" si="5">IFERROR(Q5/ABS(O5), "-")</f>
        <v>2.049351420446997E-2</v>
      </c>
      <c r="S5" s="331"/>
      <c r="T5" s="117">
        <f>T6+T11+T12+T13+T14+T15</f>
        <v>26306987</v>
      </c>
      <c r="U5" s="117">
        <f>U6+U11+U12+U13+U14+U15</f>
        <v>26970730.949999999</v>
      </c>
      <c r="V5" s="120">
        <f t="shared" ref="V5:V19" si="6">U5-T5</f>
        <v>663743.94999999925</v>
      </c>
      <c r="W5" s="121">
        <f t="shared" ref="W5:W54" si="7">IFERROR(V5/ABS(T5), "-")</f>
        <v>2.5230709620983931E-2</v>
      </c>
      <c r="X5" s="331"/>
    </row>
    <row r="6" spans="1:24" ht="15.6" customHeight="1" x14ac:dyDescent="0.2">
      <c r="A6" s="67">
        <v>11100</v>
      </c>
      <c r="B6" s="68" t="s">
        <v>152</v>
      </c>
      <c r="C6" s="69">
        <f>C7+C8+C9+C10</f>
        <v>21750135</v>
      </c>
      <c r="D6" s="69">
        <f t="shared" ref="D6" si="8">D7+D8+D9+D10</f>
        <v>23175799</v>
      </c>
      <c r="E6" s="200">
        <f>E7+E8+E9+E10</f>
        <v>5995176.3100000005</v>
      </c>
      <c r="F6" s="200">
        <v>5995176.3100000005</v>
      </c>
      <c r="G6" s="70">
        <f t="shared" si="0"/>
        <v>0</v>
      </c>
      <c r="H6" s="71">
        <f t="shared" si="1"/>
        <v>0</v>
      </c>
      <c r="I6" s="72"/>
      <c r="J6" s="69">
        <f t="shared" ref="J6" si="9">J7+J8+J9+J10</f>
        <v>11444290.120000001</v>
      </c>
      <c r="K6" s="69">
        <v>11444290.120000001</v>
      </c>
      <c r="L6" s="70">
        <f t="shared" si="2"/>
        <v>0</v>
      </c>
      <c r="M6" s="71">
        <f t="shared" si="3"/>
        <v>0</v>
      </c>
      <c r="N6" s="72"/>
      <c r="O6" s="69">
        <v>16724110</v>
      </c>
      <c r="P6" s="69">
        <f t="shared" ref="P6" si="10">P7+P8+P9+P10</f>
        <v>17457402.120000001</v>
      </c>
      <c r="Q6" s="70">
        <f t="shared" si="4"/>
        <v>733292.12000000104</v>
      </c>
      <c r="R6" s="71">
        <f t="shared" si="5"/>
        <v>4.384640617647223E-2</v>
      </c>
      <c r="S6" s="72"/>
      <c r="T6" s="69">
        <f t="shared" ref="T6:U6" si="11">T7+T8+T9+T10</f>
        <v>23175799</v>
      </c>
      <c r="U6" s="69">
        <f t="shared" si="11"/>
        <v>24316167.299999997</v>
      </c>
      <c r="V6" s="70">
        <f t="shared" si="6"/>
        <v>1140368.299999997</v>
      </c>
      <c r="W6" s="71">
        <f t="shared" si="7"/>
        <v>4.9205134200551059E-2</v>
      </c>
      <c r="X6" s="72"/>
    </row>
    <row r="7" spans="1:24" s="190" customFormat="1" ht="15.6" customHeight="1" x14ac:dyDescent="0.2">
      <c r="A7" s="67">
        <v>11110</v>
      </c>
      <c r="B7" s="73" t="s">
        <v>96</v>
      </c>
      <c r="C7" s="69">
        <v>20929452</v>
      </c>
      <c r="D7" s="69">
        <v>22266726</v>
      </c>
      <c r="E7" s="200">
        <v>5723740.9000000004</v>
      </c>
      <c r="F7" s="200">
        <v>5723740.9000000004</v>
      </c>
      <c r="G7" s="70">
        <f t="shared" si="0"/>
        <v>0</v>
      </c>
      <c r="H7" s="71">
        <f t="shared" si="1"/>
        <v>0</v>
      </c>
      <c r="I7" s="74"/>
      <c r="J7" s="69">
        <f>11031798.41</f>
        <v>11031798.41</v>
      </c>
      <c r="K7" s="69">
        <v>11031798.41</v>
      </c>
      <c r="L7" s="70">
        <f t="shared" si="2"/>
        <v>0</v>
      </c>
      <c r="M7" s="71">
        <f t="shared" si="3"/>
        <v>0</v>
      </c>
      <c r="N7" s="74"/>
      <c r="O7" s="69">
        <v>16046475</v>
      </c>
      <c r="P7" s="69">
        <f>16746609.73</f>
        <v>16746609.73</v>
      </c>
      <c r="Q7" s="70">
        <f t="shared" si="4"/>
        <v>700134.73000000045</v>
      </c>
      <c r="R7" s="71">
        <f t="shared" si="5"/>
        <v>4.3631684217250236E-2</v>
      </c>
      <c r="S7" s="74"/>
      <c r="T7" s="69">
        <v>22266726</v>
      </c>
      <c r="U7" s="69">
        <f>23300747.72</f>
        <v>23300747.719999999</v>
      </c>
      <c r="V7" s="70">
        <f t="shared" si="6"/>
        <v>1034021.7199999988</v>
      </c>
      <c r="W7" s="71">
        <f t="shared" si="7"/>
        <v>4.6437977455688763E-2</v>
      </c>
      <c r="X7" s="74"/>
    </row>
    <row r="8" spans="1:24" s="191" customFormat="1" ht="15.6" customHeight="1" x14ac:dyDescent="0.2">
      <c r="A8" s="67">
        <v>11120</v>
      </c>
      <c r="B8" s="75" t="s">
        <v>102</v>
      </c>
      <c r="C8" s="69"/>
      <c r="D8" s="69"/>
      <c r="E8" s="200"/>
      <c r="F8" s="200"/>
      <c r="G8" s="70">
        <f t="shared" si="0"/>
        <v>0</v>
      </c>
      <c r="H8" s="71" t="str">
        <f t="shared" si="1"/>
        <v>-</v>
      </c>
      <c r="I8" s="74"/>
      <c r="J8" s="69"/>
      <c r="K8" s="69"/>
      <c r="L8" s="70">
        <f t="shared" si="2"/>
        <v>0</v>
      </c>
      <c r="M8" s="71" t="str">
        <f t="shared" si="3"/>
        <v>-</v>
      </c>
      <c r="N8" s="74"/>
      <c r="O8" s="69"/>
      <c r="P8" s="69"/>
      <c r="Q8" s="70">
        <f t="shared" si="4"/>
        <v>0</v>
      </c>
      <c r="R8" s="71" t="str">
        <f t="shared" si="5"/>
        <v>-</v>
      </c>
      <c r="S8" s="74"/>
      <c r="T8" s="69"/>
      <c r="U8" s="69"/>
      <c r="V8" s="70">
        <f t="shared" si="6"/>
        <v>0</v>
      </c>
      <c r="W8" s="71" t="str">
        <f t="shared" si="7"/>
        <v>-</v>
      </c>
      <c r="X8" s="74"/>
    </row>
    <row r="9" spans="1:24" s="191" customFormat="1" x14ac:dyDescent="0.2">
      <c r="A9" s="67">
        <v>11130</v>
      </c>
      <c r="B9" s="75" t="s">
        <v>108</v>
      </c>
      <c r="C9" s="69">
        <v>820683</v>
      </c>
      <c r="D9" s="69">
        <v>909073</v>
      </c>
      <c r="E9" s="200">
        <f>7011.64+263579.54+844.23</f>
        <v>271435.40999999997</v>
      </c>
      <c r="F9" s="200">
        <v>271435.40999999997</v>
      </c>
      <c r="G9" s="70">
        <f t="shared" si="0"/>
        <v>0</v>
      </c>
      <c r="H9" s="71">
        <f t="shared" si="1"/>
        <v>0</v>
      </c>
      <c r="I9" s="435"/>
      <c r="J9" s="69">
        <f>8951.16+403540.55</f>
        <v>412491.70999999996</v>
      </c>
      <c r="K9" s="69">
        <v>412491.70999999996</v>
      </c>
      <c r="L9" s="70">
        <f t="shared" si="2"/>
        <v>0</v>
      </c>
      <c r="M9" s="71">
        <f t="shared" si="3"/>
        <v>0</v>
      </c>
      <c r="N9" s="74"/>
      <c r="O9" s="69">
        <v>677635</v>
      </c>
      <c r="P9" s="69">
        <f>9046.44+699889.17+1856.78</f>
        <v>710792.39</v>
      </c>
      <c r="Q9" s="70">
        <f t="shared" si="4"/>
        <v>33157.390000000014</v>
      </c>
      <c r="R9" s="71">
        <f t="shared" si="5"/>
        <v>4.8931046950054256E-2</v>
      </c>
      <c r="S9" s="74"/>
      <c r="T9" s="69">
        <v>909073</v>
      </c>
      <c r="U9" s="69">
        <f>9046.44+1004516.36+1856.78</f>
        <v>1015419.58</v>
      </c>
      <c r="V9" s="70">
        <f t="shared" si="6"/>
        <v>106346.57999999996</v>
      </c>
      <c r="W9" s="71">
        <f t="shared" si="7"/>
        <v>0.11698354257578869</v>
      </c>
      <c r="X9" s="74"/>
    </row>
    <row r="10" spans="1:24" s="191" customFormat="1" x14ac:dyDescent="0.2">
      <c r="A10" s="67">
        <v>11140</v>
      </c>
      <c r="B10" s="75" t="s">
        <v>84</v>
      </c>
      <c r="C10" s="69"/>
      <c r="D10" s="69"/>
      <c r="E10" s="200"/>
      <c r="F10" s="200"/>
      <c r="G10" s="70">
        <f t="shared" si="0"/>
        <v>0</v>
      </c>
      <c r="H10" s="71" t="str">
        <f t="shared" si="1"/>
        <v>-</v>
      </c>
      <c r="I10" s="74"/>
      <c r="J10" s="69"/>
      <c r="K10" s="69"/>
      <c r="L10" s="70">
        <f t="shared" si="2"/>
        <v>0</v>
      </c>
      <c r="M10" s="71" t="str">
        <f t="shared" si="3"/>
        <v>-</v>
      </c>
      <c r="N10" s="74"/>
      <c r="O10" s="69"/>
      <c r="P10" s="69"/>
      <c r="Q10" s="70">
        <f t="shared" si="4"/>
        <v>0</v>
      </c>
      <c r="R10" s="71" t="str">
        <f t="shared" si="5"/>
        <v>-</v>
      </c>
      <c r="S10" s="74"/>
      <c r="T10" s="69"/>
      <c r="U10" s="69"/>
      <c r="V10" s="70">
        <f t="shared" si="6"/>
        <v>0</v>
      </c>
      <c r="W10" s="71" t="str">
        <f t="shared" si="7"/>
        <v>-</v>
      </c>
      <c r="X10" s="74"/>
    </row>
    <row r="11" spans="1:24" ht="15.6" customHeight="1" x14ac:dyDescent="0.2">
      <c r="A11" s="67">
        <v>11200</v>
      </c>
      <c r="B11" s="76" t="s">
        <v>407</v>
      </c>
      <c r="C11" s="77"/>
      <c r="D11" s="77"/>
      <c r="E11" s="433"/>
      <c r="F11" s="433"/>
      <c r="G11" s="78">
        <f t="shared" si="0"/>
        <v>0</v>
      </c>
      <c r="H11" s="79" t="str">
        <f t="shared" si="1"/>
        <v>-</v>
      </c>
      <c r="I11" s="80"/>
      <c r="J11" s="77"/>
      <c r="K11" s="77"/>
      <c r="L11" s="78">
        <f t="shared" si="2"/>
        <v>0</v>
      </c>
      <c r="M11" s="79" t="str">
        <f t="shared" si="3"/>
        <v>-</v>
      </c>
      <c r="N11" s="80"/>
      <c r="O11" s="77"/>
      <c r="P11" s="77"/>
      <c r="Q11" s="78">
        <f t="shared" si="4"/>
        <v>0</v>
      </c>
      <c r="R11" s="79" t="str">
        <f t="shared" si="5"/>
        <v>-</v>
      </c>
      <c r="S11" s="80"/>
      <c r="T11" s="77"/>
      <c r="U11" s="77"/>
      <c r="V11" s="78">
        <f t="shared" si="6"/>
        <v>0</v>
      </c>
      <c r="W11" s="79" t="str">
        <f t="shared" si="7"/>
        <v>-</v>
      </c>
      <c r="X11" s="80"/>
    </row>
    <row r="12" spans="1:24" ht="29.25" customHeight="1" x14ac:dyDescent="0.2">
      <c r="A12" s="67">
        <v>11300</v>
      </c>
      <c r="B12" s="81" t="s">
        <v>153</v>
      </c>
      <c r="C12" s="77">
        <v>1649390</v>
      </c>
      <c r="D12" s="77">
        <v>2234673</v>
      </c>
      <c r="E12" s="433">
        <f>497278.08+8.27+53266.6+5.18+17.54+67.17+12602.59</f>
        <v>563245.43000000017</v>
      </c>
      <c r="F12" s="433">
        <v>563245.43000000017</v>
      </c>
      <c r="G12" s="78">
        <f t="shared" si="0"/>
        <v>0</v>
      </c>
      <c r="H12" s="79">
        <f t="shared" si="1"/>
        <v>0</v>
      </c>
      <c r="I12" s="80"/>
      <c r="J12" s="77">
        <f>8.27+935610.1+53266.6+29.82+7.93+67.17+8535.93</f>
        <v>997525.82000000007</v>
      </c>
      <c r="K12" s="77">
        <v>997525.82000000007</v>
      </c>
      <c r="L12" s="78">
        <f t="shared" si="2"/>
        <v>0</v>
      </c>
      <c r="M12" s="79">
        <f t="shared" si="3"/>
        <v>0</v>
      </c>
      <c r="N12" s="80"/>
      <c r="O12" s="77">
        <v>1707665</v>
      </c>
      <c r="P12" s="77">
        <f>8.27+1337473.8+53266.6+8.43+45.02+67.17-6.6+8928.4</f>
        <v>1399791.0899999999</v>
      </c>
      <c r="Q12" s="78">
        <f t="shared" si="4"/>
        <v>-307873.91000000015</v>
      </c>
      <c r="R12" s="79">
        <f t="shared" si="5"/>
        <v>-0.18028940688015516</v>
      </c>
      <c r="S12" s="547" t="s">
        <v>719</v>
      </c>
      <c r="T12" s="77">
        <v>2234673</v>
      </c>
      <c r="U12" s="77">
        <f>8.27+1767321.79+61828.31+8.43+60.63+67.17</f>
        <v>1829294.5999999999</v>
      </c>
      <c r="V12" s="78">
        <f t="shared" si="6"/>
        <v>-405378.40000000014</v>
      </c>
      <c r="W12" s="79">
        <f t="shared" si="7"/>
        <v>-0.18140390115242819</v>
      </c>
      <c r="X12" s="547" t="s">
        <v>719</v>
      </c>
    </row>
    <row r="13" spans="1:24" ht="15.6" customHeight="1" x14ac:dyDescent="0.2">
      <c r="A13" s="67">
        <v>11400</v>
      </c>
      <c r="B13" s="17" t="s">
        <v>4</v>
      </c>
      <c r="C13" s="82">
        <v>341420</v>
      </c>
      <c r="D13" s="82">
        <v>351813</v>
      </c>
      <c r="E13" s="103">
        <v>97150.14</v>
      </c>
      <c r="F13" s="103">
        <v>97150.14</v>
      </c>
      <c r="G13" s="83">
        <f t="shared" si="0"/>
        <v>0</v>
      </c>
      <c r="H13" s="47">
        <f t="shared" si="1"/>
        <v>0</v>
      </c>
      <c r="I13" s="108"/>
      <c r="J13" s="82">
        <f>184072.13</f>
        <v>184072.13</v>
      </c>
      <c r="K13" s="82">
        <v>184072.13</v>
      </c>
      <c r="L13" s="83">
        <f t="shared" si="2"/>
        <v>0</v>
      </c>
      <c r="M13" s="47">
        <f t="shared" si="3"/>
        <v>0</v>
      </c>
      <c r="N13" s="84"/>
      <c r="O13" s="82">
        <v>248105</v>
      </c>
      <c r="P13" s="82">
        <f>279646.44</f>
        <v>279646.44</v>
      </c>
      <c r="Q13" s="83">
        <f t="shared" si="4"/>
        <v>31541.440000000002</v>
      </c>
      <c r="R13" s="47">
        <f t="shared" si="5"/>
        <v>0.12712940085850749</v>
      </c>
      <c r="S13" s="84"/>
      <c r="T13" s="82">
        <v>351813</v>
      </c>
      <c r="U13" s="82">
        <v>383271.94</v>
      </c>
      <c r="V13" s="83">
        <f t="shared" si="6"/>
        <v>31458.940000000002</v>
      </c>
      <c r="W13" s="47">
        <f t="shared" si="7"/>
        <v>8.9419492741882767E-2</v>
      </c>
      <c r="X13" s="84"/>
    </row>
    <row r="14" spans="1:24" ht="31.5" x14ac:dyDescent="0.2">
      <c r="A14" s="67">
        <v>11500</v>
      </c>
      <c r="B14" s="17" t="s">
        <v>258</v>
      </c>
      <c r="C14" s="82">
        <v>288393</v>
      </c>
      <c r="D14" s="82">
        <v>362894</v>
      </c>
      <c r="E14" s="103">
        <v>72854.740000000005</v>
      </c>
      <c r="F14" s="103">
        <v>72854.740000000005</v>
      </c>
      <c r="G14" s="83">
        <f t="shared" si="0"/>
        <v>0</v>
      </c>
      <c r="H14" s="47">
        <f t="shared" si="1"/>
        <v>0</v>
      </c>
      <c r="I14" s="84"/>
      <c r="J14" s="82">
        <v>140651.41</v>
      </c>
      <c r="K14" s="82">
        <v>140651.41</v>
      </c>
      <c r="L14" s="83">
        <f t="shared" si="2"/>
        <v>0</v>
      </c>
      <c r="M14" s="47">
        <f t="shared" si="3"/>
        <v>0</v>
      </c>
      <c r="N14" s="84"/>
      <c r="O14" s="82">
        <v>268061</v>
      </c>
      <c r="P14" s="82">
        <v>230285.43</v>
      </c>
      <c r="Q14" s="83">
        <f t="shared" si="4"/>
        <v>-37775.570000000007</v>
      </c>
      <c r="R14" s="47">
        <f t="shared" si="5"/>
        <v>-0.14092154397693066</v>
      </c>
      <c r="S14" s="84"/>
      <c r="T14" s="82">
        <v>362894</v>
      </c>
      <c r="U14" s="82">
        <f>300729.98+55</f>
        <v>300784.98</v>
      </c>
      <c r="V14" s="83">
        <f t="shared" si="6"/>
        <v>-62109.020000000019</v>
      </c>
      <c r="W14" s="47">
        <f t="shared" si="7"/>
        <v>-0.1711492061042619</v>
      </c>
      <c r="X14" s="551" t="s">
        <v>718</v>
      </c>
    </row>
    <row r="15" spans="1:24" ht="31.5" x14ac:dyDescent="0.2">
      <c r="A15" s="67">
        <v>11600</v>
      </c>
      <c r="B15" s="85" t="s">
        <v>7</v>
      </c>
      <c r="C15" s="82">
        <v>134260</v>
      </c>
      <c r="D15" s="82">
        <v>181808</v>
      </c>
      <c r="E15" s="103">
        <v>37905.53</v>
      </c>
      <c r="F15" s="103">
        <v>37905.53</v>
      </c>
      <c r="G15" s="83">
        <f t="shared" si="0"/>
        <v>0</v>
      </c>
      <c r="H15" s="47">
        <f t="shared" si="1"/>
        <v>0</v>
      </c>
      <c r="I15" s="84"/>
      <c r="J15" s="82">
        <v>71112.100000000006</v>
      </c>
      <c r="K15" s="82">
        <v>71112.100000000006</v>
      </c>
      <c r="L15" s="83">
        <f t="shared" si="2"/>
        <v>0</v>
      </c>
      <c r="M15" s="47">
        <f t="shared" si="3"/>
        <v>0</v>
      </c>
      <c r="N15" s="84"/>
      <c r="O15" s="82">
        <v>130983</v>
      </c>
      <c r="P15" s="82">
        <v>102793.12</v>
      </c>
      <c r="Q15" s="83">
        <f t="shared" si="4"/>
        <v>-28189.880000000005</v>
      </c>
      <c r="R15" s="47">
        <f t="shared" si="5"/>
        <v>-0.21521785269844182</v>
      </c>
      <c r="S15" s="551" t="s">
        <v>718</v>
      </c>
      <c r="T15" s="82">
        <v>181808</v>
      </c>
      <c r="U15" s="82">
        <v>141212.13</v>
      </c>
      <c r="V15" s="83">
        <f t="shared" si="6"/>
        <v>-40595.869999999995</v>
      </c>
      <c r="W15" s="47">
        <f t="shared" si="7"/>
        <v>-0.22328978922819676</v>
      </c>
      <c r="X15" s="551" t="s">
        <v>718</v>
      </c>
    </row>
    <row r="16" spans="1:24" ht="15.6" customHeight="1" x14ac:dyDescent="0.2">
      <c r="A16" s="115">
        <v>12000</v>
      </c>
      <c r="B16" s="63" t="s">
        <v>154</v>
      </c>
      <c r="C16" s="118">
        <f>C17+C18</f>
        <v>23622500.57</v>
      </c>
      <c r="D16" s="118">
        <f>D17+D18</f>
        <v>25828292</v>
      </c>
      <c r="E16" s="118">
        <f>E17+E18</f>
        <v>5963133.0099999998</v>
      </c>
      <c r="F16" s="118">
        <v>5963133.0099999998</v>
      </c>
      <c r="G16" s="119">
        <f t="shared" si="0"/>
        <v>0</v>
      </c>
      <c r="H16" s="30">
        <f t="shared" si="1"/>
        <v>0</v>
      </c>
      <c r="I16" s="333"/>
      <c r="J16" s="118">
        <f>J17+J18</f>
        <v>12045818.9</v>
      </c>
      <c r="K16" s="118">
        <v>12045818.9</v>
      </c>
      <c r="L16" s="119">
        <f t="shared" si="2"/>
        <v>0</v>
      </c>
      <c r="M16" s="30">
        <f t="shared" si="3"/>
        <v>0</v>
      </c>
      <c r="N16" s="333"/>
      <c r="O16" s="118">
        <v>18736741</v>
      </c>
      <c r="P16" s="118">
        <f>P17+P18</f>
        <v>18634062.710000001</v>
      </c>
      <c r="Q16" s="119">
        <f t="shared" si="4"/>
        <v>-102678.28999999911</v>
      </c>
      <c r="R16" s="30">
        <f t="shared" si="5"/>
        <v>-5.4800506662284068E-3</v>
      </c>
      <c r="S16" s="333"/>
      <c r="T16" s="118">
        <f>T17+T18</f>
        <v>25828292</v>
      </c>
      <c r="U16" s="118">
        <f>U17+U18</f>
        <v>26418194.500000004</v>
      </c>
      <c r="V16" s="119">
        <f t="shared" si="6"/>
        <v>589902.50000000373</v>
      </c>
      <c r="W16" s="30">
        <f t="shared" si="7"/>
        <v>2.2839392554490391E-2</v>
      </c>
      <c r="X16" s="333"/>
    </row>
    <row r="17" spans="1:24" x14ac:dyDescent="0.2">
      <c r="A17" s="67">
        <v>12100</v>
      </c>
      <c r="B17" s="68" t="s">
        <v>155</v>
      </c>
      <c r="C17" s="77">
        <v>1878523</v>
      </c>
      <c r="D17" s="77">
        <v>2119679.7200000002</v>
      </c>
      <c r="E17" s="433">
        <v>673619.07</v>
      </c>
      <c r="F17" s="433">
        <v>673619.07</v>
      </c>
      <c r="G17" s="78">
        <f t="shared" si="0"/>
        <v>0</v>
      </c>
      <c r="H17" s="79">
        <f t="shared" si="1"/>
        <v>0</v>
      </c>
      <c r="I17" s="434"/>
      <c r="J17" s="77">
        <f>1083208.49</f>
        <v>1083208.49</v>
      </c>
      <c r="K17" s="77">
        <v>1083208.49</v>
      </c>
      <c r="L17" s="78">
        <f t="shared" si="2"/>
        <v>0</v>
      </c>
      <c r="M17" s="79">
        <f t="shared" si="3"/>
        <v>0</v>
      </c>
      <c r="N17" s="86"/>
      <c r="O17" s="77">
        <v>1437887</v>
      </c>
      <c r="P17" s="77">
        <v>1539881.7</v>
      </c>
      <c r="Q17" s="78">
        <f t="shared" si="4"/>
        <v>101994.69999999995</v>
      </c>
      <c r="R17" s="79">
        <f t="shared" si="5"/>
        <v>7.0933738186658588E-2</v>
      </c>
      <c r="S17" s="86"/>
      <c r="T17" s="77">
        <v>2119679.7200000002</v>
      </c>
      <c r="U17" s="77">
        <f>1985917.84</f>
        <v>1985917.84</v>
      </c>
      <c r="V17" s="78">
        <f t="shared" si="6"/>
        <v>-133761.88000000012</v>
      </c>
      <c r="W17" s="79">
        <f t="shared" si="7"/>
        <v>-6.3104759996477258E-2</v>
      </c>
      <c r="X17" s="86"/>
    </row>
    <row r="18" spans="1:24" ht="15.6" customHeight="1" x14ac:dyDescent="0.2">
      <c r="A18" s="67">
        <v>12200</v>
      </c>
      <c r="B18" s="68" t="s">
        <v>156</v>
      </c>
      <c r="C18" s="77">
        <f>21744034-56.43</f>
        <v>21743977.57</v>
      </c>
      <c r="D18" s="77">
        <f>25907822-D17-79530</f>
        <v>23708612.280000001</v>
      </c>
      <c r="E18" s="433">
        <f>5963133.01-E17</f>
        <v>5289513.9399999995</v>
      </c>
      <c r="F18" s="433">
        <v>5289513.9399999995</v>
      </c>
      <c r="G18" s="78">
        <f t="shared" si="0"/>
        <v>0</v>
      </c>
      <c r="H18" s="79">
        <f t="shared" si="1"/>
        <v>0</v>
      </c>
      <c r="I18" s="80"/>
      <c r="J18" s="77">
        <f>12045818.9-J17</f>
        <v>10962610.41</v>
      </c>
      <c r="K18" s="77">
        <v>10962610.41</v>
      </c>
      <c r="L18" s="78">
        <f t="shared" si="2"/>
        <v>0</v>
      </c>
      <c r="M18" s="79">
        <f t="shared" si="3"/>
        <v>0</v>
      </c>
      <c r="N18" s="80"/>
      <c r="O18" s="77">
        <v>17298854</v>
      </c>
      <c r="P18" s="77">
        <f>17394415.16-300234.15</f>
        <v>17094181.010000002</v>
      </c>
      <c r="Q18" s="78">
        <f t="shared" si="4"/>
        <v>-204672.98999999836</v>
      </c>
      <c r="R18" s="79">
        <f t="shared" si="5"/>
        <v>-1.1831592428030108E-2</v>
      </c>
      <c r="S18" s="80"/>
      <c r="T18" s="77">
        <f>25907822-T17-79530</f>
        <v>23708612.280000001</v>
      </c>
      <c r="U18" s="77">
        <f>16212243.82+5354.43+6082021.85+2112486.3+2.16+17968.18+2199.92</f>
        <v>24432276.660000004</v>
      </c>
      <c r="V18" s="78">
        <f t="shared" si="6"/>
        <v>723664.38000000268</v>
      </c>
      <c r="W18" s="79">
        <f t="shared" si="7"/>
        <v>3.0523270255276309E-2</v>
      </c>
      <c r="X18" s="80"/>
    </row>
    <row r="19" spans="1:24" ht="29.45" customHeight="1" x14ac:dyDescent="0.2">
      <c r="A19" s="115">
        <v>13000</v>
      </c>
      <c r="B19" s="122" t="s">
        <v>157</v>
      </c>
      <c r="C19" s="118">
        <f>C5-C16</f>
        <v>541097.4299999997</v>
      </c>
      <c r="D19" s="118">
        <f>D5-D16</f>
        <v>478695</v>
      </c>
      <c r="E19" s="118">
        <f>E5-E16</f>
        <v>803199.1400000006</v>
      </c>
      <c r="F19" s="118">
        <v>803199.1400000006</v>
      </c>
      <c r="G19" s="119">
        <f t="shared" si="0"/>
        <v>0</v>
      </c>
      <c r="H19" s="30">
        <f t="shared" si="1"/>
        <v>0</v>
      </c>
      <c r="I19" s="333"/>
      <c r="J19" s="118">
        <f>J5-J16</f>
        <v>791832.68000000156</v>
      </c>
      <c r="K19" s="118">
        <v>791832.68000000156</v>
      </c>
      <c r="L19" s="119">
        <f t="shared" si="2"/>
        <v>0</v>
      </c>
      <c r="M19" s="30">
        <f t="shared" si="3"/>
        <v>0</v>
      </c>
      <c r="N19" s="333"/>
      <c r="O19" s="118">
        <v>342183</v>
      </c>
      <c r="P19" s="118">
        <f>P5-P16</f>
        <v>835855.49000000209</v>
      </c>
      <c r="Q19" s="119">
        <f t="shared" si="4"/>
        <v>493672.49000000209</v>
      </c>
      <c r="R19" s="30">
        <f t="shared" si="5"/>
        <v>1.442714833875447</v>
      </c>
      <c r="S19" s="333"/>
      <c r="T19" s="118">
        <f>T5-T16</f>
        <v>478695</v>
      </c>
      <c r="U19" s="118">
        <f>U5-U16</f>
        <v>552536.44999999553</v>
      </c>
      <c r="V19" s="119">
        <f t="shared" si="6"/>
        <v>73841.44999999553</v>
      </c>
      <c r="W19" s="30">
        <f t="shared" si="7"/>
        <v>0.15425573695149422</v>
      </c>
      <c r="X19" s="333"/>
    </row>
    <row r="20" spans="1:24" ht="15.6" customHeight="1" x14ac:dyDescent="0.2">
      <c r="A20" s="326" t="s">
        <v>163</v>
      </c>
      <c r="B20" s="640" t="s">
        <v>159</v>
      </c>
      <c r="C20" s="640"/>
      <c r="D20" s="640"/>
      <c r="E20" s="640"/>
      <c r="F20" s="640"/>
      <c r="G20" s="640"/>
      <c r="H20" s="330" t="str">
        <f t="shared" si="1"/>
        <v>-</v>
      </c>
      <c r="I20" s="328"/>
      <c r="J20" s="329"/>
      <c r="K20" s="329"/>
      <c r="L20" s="329"/>
      <c r="M20" s="330" t="str">
        <f t="shared" si="3"/>
        <v>-</v>
      </c>
      <c r="N20" s="328"/>
      <c r="O20" s="329"/>
      <c r="P20" s="329"/>
      <c r="Q20" s="329"/>
      <c r="R20" s="330" t="str">
        <f t="shared" si="5"/>
        <v>-</v>
      </c>
      <c r="S20" s="328"/>
      <c r="T20" s="329"/>
      <c r="U20" s="329"/>
      <c r="V20" s="329"/>
      <c r="W20" s="330" t="str">
        <f t="shared" si="7"/>
        <v>-</v>
      </c>
      <c r="X20" s="328"/>
    </row>
    <row r="21" spans="1:24" ht="15.6" customHeight="1" x14ac:dyDescent="0.2">
      <c r="A21" s="123">
        <v>14000</v>
      </c>
      <c r="B21" s="124" t="s">
        <v>265</v>
      </c>
      <c r="C21" s="125">
        <f>C22+C23+C24+C25+C26</f>
        <v>0</v>
      </c>
      <c r="D21" s="125">
        <f t="shared" ref="D21:E21" si="12">D22+D23+D24+D25+D26</f>
        <v>0</v>
      </c>
      <c r="E21" s="125">
        <f t="shared" si="12"/>
        <v>0</v>
      </c>
      <c r="F21" s="125">
        <v>0</v>
      </c>
      <c r="G21" s="126">
        <f t="shared" ref="G21:G34" si="13">F21-E21</f>
        <v>0</v>
      </c>
      <c r="H21" s="30" t="str">
        <f t="shared" si="1"/>
        <v>-</v>
      </c>
      <c r="I21" s="332"/>
      <c r="J21" s="125">
        <f t="shared" ref="J21" si="14">J22+J23+J24+J25+J26</f>
        <v>0</v>
      </c>
      <c r="K21" s="125">
        <v>0</v>
      </c>
      <c r="L21" s="126">
        <f t="shared" ref="L21:L34" si="15">K21-J21</f>
        <v>0</v>
      </c>
      <c r="M21" s="30" t="str">
        <f t="shared" si="3"/>
        <v>-</v>
      </c>
      <c r="N21" s="332"/>
      <c r="O21" s="125">
        <v>0</v>
      </c>
      <c r="P21" s="125">
        <f t="shared" ref="P21" si="16">P22+P23+P24+P25+P26</f>
        <v>0</v>
      </c>
      <c r="Q21" s="126">
        <f t="shared" ref="Q21:Q34" si="17">P21-O21</f>
        <v>0</v>
      </c>
      <c r="R21" s="30" t="str">
        <f t="shared" si="5"/>
        <v>-</v>
      </c>
      <c r="S21" s="332"/>
      <c r="T21" s="125">
        <f t="shared" ref="T21:U21" si="18">T22+T23+T24+T25+T26</f>
        <v>0</v>
      </c>
      <c r="U21" s="125">
        <f t="shared" si="18"/>
        <v>0</v>
      </c>
      <c r="V21" s="126">
        <f t="shared" ref="V21:V34" si="19">U21-T21</f>
        <v>0</v>
      </c>
      <c r="W21" s="30" t="str">
        <f t="shared" si="7"/>
        <v>-</v>
      </c>
      <c r="X21" s="332"/>
    </row>
    <row r="22" spans="1:24" ht="31.5" customHeight="1" x14ac:dyDescent="0.2">
      <c r="A22" s="34">
        <v>14100</v>
      </c>
      <c r="B22" s="88" t="s">
        <v>261</v>
      </c>
      <c r="C22" s="19"/>
      <c r="D22" s="19"/>
      <c r="E22" s="19"/>
      <c r="F22" s="19"/>
      <c r="G22" s="89">
        <f t="shared" si="13"/>
        <v>0</v>
      </c>
      <c r="H22" s="29" t="str">
        <f t="shared" si="1"/>
        <v>-</v>
      </c>
      <c r="I22" s="90"/>
      <c r="J22" s="19"/>
      <c r="K22" s="19"/>
      <c r="L22" s="89">
        <f t="shared" si="15"/>
        <v>0</v>
      </c>
      <c r="M22" s="29" t="str">
        <f t="shared" si="3"/>
        <v>-</v>
      </c>
      <c r="N22" s="90"/>
      <c r="O22" s="19"/>
      <c r="P22" s="19"/>
      <c r="Q22" s="89">
        <f t="shared" si="17"/>
        <v>0</v>
      </c>
      <c r="R22" s="29" t="str">
        <f t="shared" si="5"/>
        <v>-</v>
      </c>
      <c r="S22" s="90"/>
      <c r="T22" s="19"/>
      <c r="U22" s="19"/>
      <c r="V22" s="89">
        <f t="shared" si="19"/>
        <v>0</v>
      </c>
      <c r="W22" s="29" t="str">
        <f t="shared" si="7"/>
        <v>-</v>
      </c>
      <c r="X22" s="90"/>
    </row>
    <row r="23" spans="1:24" ht="30.95" customHeight="1" x14ac:dyDescent="0.2">
      <c r="A23" s="34">
        <v>14200</v>
      </c>
      <c r="B23" s="88" t="s">
        <v>160</v>
      </c>
      <c r="C23" s="19"/>
      <c r="D23" s="19"/>
      <c r="E23" s="19"/>
      <c r="F23" s="19"/>
      <c r="G23" s="89">
        <f t="shared" si="13"/>
        <v>0</v>
      </c>
      <c r="H23" s="29" t="str">
        <f t="shared" si="1"/>
        <v>-</v>
      </c>
      <c r="I23" s="90"/>
      <c r="J23" s="19"/>
      <c r="K23" s="19"/>
      <c r="L23" s="89">
        <f t="shared" si="15"/>
        <v>0</v>
      </c>
      <c r="M23" s="29" t="str">
        <f t="shared" si="3"/>
        <v>-</v>
      </c>
      <c r="N23" s="90"/>
      <c r="O23" s="19"/>
      <c r="P23" s="19"/>
      <c r="Q23" s="89">
        <f t="shared" si="17"/>
        <v>0</v>
      </c>
      <c r="R23" s="29" t="str">
        <f t="shared" si="5"/>
        <v>-</v>
      </c>
      <c r="S23" s="90"/>
      <c r="T23" s="19"/>
      <c r="U23" s="19"/>
      <c r="V23" s="89">
        <f t="shared" si="19"/>
        <v>0</v>
      </c>
      <c r="W23" s="29" t="str">
        <f t="shared" si="7"/>
        <v>-</v>
      </c>
      <c r="X23" s="90"/>
    </row>
    <row r="24" spans="1:24" ht="15.6" customHeight="1" x14ac:dyDescent="0.2">
      <c r="A24" s="34">
        <v>14300</v>
      </c>
      <c r="B24" s="16" t="s">
        <v>162</v>
      </c>
      <c r="C24" s="19"/>
      <c r="D24" s="19"/>
      <c r="E24" s="19"/>
      <c r="F24" s="19"/>
      <c r="G24" s="89">
        <f t="shared" si="13"/>
        <v>0</v>
      </c>
      <c r="H24" s="29" t="str">
        <f t="shared" si="1"/>
        <v>-</v>
      </c>
      <c r="I24" s="90"/>
      <c r="J24" s="19"/>
      <c r="K24" s="19"/>
      <c r="L24" s="89">
        <f t="shared" si="15"/>
        <v>0</v>
      </c>
      <c r="M24" s="29" t="str">
        <f t="shared" si="3"/>
        <v>-</v>
      </c>
      <c r="N24" s="90"/>
      <c r="O24" s="19"/>
      <c r="P24" s="19"/>
      <c r="Q24" s="89">
        <f t="shared" si="17"/>
        <v>0</v>
      </c>
      <c r="R24" s="29" t="str">
        <f t="shared" si="5"/>
        <v>-</v>
      </c>
      <c r="S24" s="90"/>
      <c r="T24" s="19"/>
      <c r="U24" s="19"/>
      <c r="V24" s="89">
        <f t="shared" si="19"/>
        <v>0</v>
      </c>
      <c r="W24" s="29" t="str">
        <f t="shared" si="7"/>
        <v>-</v>
      </c>
      <c r="X24" s="90"/>
    </row>
    <row r="25" spans="1:24" ht="15.6" customHeight="1" x14ac:dyDescent="0.2">
      <c r="A25" s="34">
        <v>14400</v>
      </c>
      <c r="B25" s="16" t="s">
        <v>266</v>
      </c>
      <c r="C25" s="19"/>
      <c r="D25" s="19"/>
      <c r="E25" s="19"/>
      <c r="F25" s="19"/>
      <c r="G25" s="89">
        <f t="shared" si="13"/>
        <v>0</v>
      </c>
      <c r="H25" s="29" t="str">
        <f t="shared" si="1"/>
        <v>-</v>
      </c>
      <c r="I25" s="90"/>
      <c r="J25" s="19"/>
      <c r="K25" s="19"/>
      <c r="L25" s="89">
        <f t="shared" si="15"/>
        <v>0</v>
      </c>
      <c r="M25" s="29" t="str">
        <f t="shared" si="3"/>
        <v>-</v>
      </c>
      <c r="N25" s="90"/>
      <c r="O25" s="19"/>
      <c r="P25" s="19"/>
      <c r="Q25" s="89">
        <f t="shared" si="17"/>
        <v>0</v>
      </c>
      <c r="R25" s="29" t="str">
        <f t="shared" si="5"/>
        <v>-</v>
      </c>
      <c r="S25" s="90"/>
      <c r="T25" s="19"/>
      <c r="U25" s="19"/>
      <c r="V25" s="89">
        <f t="shared" si="19"/>
        <v>0</v>
      </c>
      <c r="W25" s="29" t="str">
        <f t="shared" si="7"/>
        <v>-</v>
      </c>
      <c r="X25" s="90"/>
    </row>
    <row r="26" spans="1:24" ht="15.6" customHeight="1" x14ac:dyDescent="0.2">
      <c r="A26" s="34">
        <v>14500</v>
      </c>
      <c r="B26" s="16" t="s">
        <v>267</v>
      </c>
      <c r="C26" s="19"/>
      <c r="D26" s="19"/>
      <c r="E26" s="19"/>
      <c r="F26" s="19"/>
      <c r="G26" s="89">
        <f t="shared" si="13"/>
        <v>0</v>
      </c>
      <c r="H26" s="29" t="str">
        <f t="shared" si="1"/>
        <v>-</v>
      </c>
      <c r="I26" s="90"/>
      <c r="J26" s="19"/>
      <c r="K26" s="19"/>
      <c r="L26" s="89">
        <f t="shared" si="15"/>
        <v>0</v>
      </c>
      <c r="M26" s="29" t="str">
        <f t="shared" si="3"/>
        <v>-</v>
      </c>
      <c r="N26" s="90"/>
      <c r="O26" s="19"/>
      <c r="P26" s="19"/>
      <c r="Q26" s="89">
        <f t="shared" si="17"/>
        <v>0</v>
      </c>
      <c r="R26" s="29" t="str">
        <f t="shared" si="5"/>
        <v>-</v>
      </c>
      <c r="S26" s="90"/>
      <c r="T26" s="19"/>
      <c r="U26" s="19"/>
      <c r="V26" s="89">
        <f t="shared" si="19"/>
        <v>0</v>
      </c>
      <c r="W26" s="29" t="str">
        <f t="shared" si="7"/>
        <v>-</v>
      </c>
      <c r="X26" s="90"/>
    </row>
    <row r="27" spans="1:24" ht="15.6" customHeight="1" x14ac:dyDescent="0.2">
      <c r="A27" s="123">
        <v>15000</v>
      </c>
      <c r="B27" s="127" t="s">
        <v>268</v>
      </c>
      <c r="C27" s="125">
        <f>C28+C29+C33</f>
        <v>1088687</v>
      </c>
      <c r="D27" s="125">
        <v>207747</v>
      </c>
      <c r="E27" s="125">
        <f>E28+E29+E33</f>
        <v>121321.53</v>
      </c>
      <c r="F27" s="125">
        <v>121321.53</v>
      </c>
      <c r="G27" s="126">
        <f t="shared" si="13"/>
        <v>0</v>
      </c>
      <c r="H27" s="30">
        <f t="shared" si="1"/>
        <v>0</v>
      </c>
      <c r="I27" s="332"/>
      <c r="J27" s="125">
        <f>J28+J29+J33</f>
        <v>207746.56</v>
      </c>
      <c r="K27" s="125">
        <v>207746.56</v>
      </c>
      <c r="L27" s="126">
        <f t="shared" si="15"/>
        <v>0</v>
      </c>
      <c r="M27" s="30">
        <f t="shared" si="3"/>
        <v>0</v>
      </c>
      <c r="N27" s="332"/>
      <c r="O27" s="125">
        <v>207747</v>
      </c>
      <c r="P27" s="125">
        <f>P28+P29+P33</f>
        <v>300234.15000000002</v>
      </c>
      <c r="Q27" s="126">
        <f t="shared" si="17"/>
        <v>92487.150000000023</v>
      </c>
      <c r="R27" s="30">
        <f t="shared" si="5"/>
        <v>0.44519126629987449</v>
      </c>
      <c r="S27" s="332"/>
      <c r="T27" s="125">
        <v>207747</v>
      </c>
      <c r="U27" s="125">
        <f>U28+U29+U33</f>
        <v>539217.17999999993</v>
      </c>
      <c r="V27" s="126">
        <f t="shared" si="19"/>
        <v>331470.17999999993</v>
      </c>
      <c r="W27" s="30">
        <f t="shared" si="7"/>
        <v>1.5955473725252347</v>
      </c>
      <c r="X27" s="332"/>
    </row>
    <row r="28" spans="1:24" ht="31.5" customHeight="1" x14ac:dyDescent="0.2">
      <c r="A28" s="34">
        <v>15100</v>
      </c>
      <c r="B28" s="88" t="s">
        <v>260</v>
      </c>
      <c r="C28" s="19"/>
      <c r="D28" s="19"/>
      <c r="E28" s="19"/>
      <c r="F28" s="19"/>
      <c r="G28" s="89">
        <f t="shared" si="13"/>
        <v>0</v>
      </c>
      <c r="H28" s="29" t="str">
        <f t="shared" si="1"/>
        <v>-</v>
      </c>
      <c r="I28" s="91"/>
      <c r="J28" s="19"/>
      <c r="K28" s="19"/>
      <c r="L28" s="89">
        <f t="shared" si="15"/>
        <v>0</v>
      </c>
      <c r="M28" s="29" t="str">
        <f t="shared" si="3"/>
        <v>-</v>
      </c>
      <c r="N28" s="91"/>
      <c r="O28" s="19"/>
      <c r="P28" s="19"/>
      <c r="Q28" s="89">
        <f t="shared" si="17"/>
        <v>0</v>
      </c>
      <c r="R28" s="29" t="str">
        <f t="shared" si="5"/>
        <v>-</v>
      </c>
      <c r="S28" s="91"/>
      <c r="T28" s="19"/>
      <c r="U28" s="19"/>
      <c r="V28" s="89">
        <f t="shared" si="19"/>
        <v>0</v>
      </c>
      <c r="W28" s="29" t="str">
        <f t="shared" si="7"/>
        <v>-</v>
      </c>
      <c r="X28" s="91"/>
    </row>
    <row r="29" spans="1:24" ht="15" customHeight="1" x14ac:dyDescent="0.2">
      <c r="A29" s="34">
        <v>15200</v>
      </c>
      <c r="B29" s="88" t="s">
        <v>429</v>
      </c>
      <c r="C29" s="92">
        <f>C30+C31+C32</f>
        <v>1088687</v>
      </c>
      <c r="D29" s="92">
        <v>207747</v>
      </c>
      <c r="E29" s="97">
        <v>121321.53</v>
      </c>
      <c r="F29" s="97">
        <v>121321.53</v>
      </c>
      <c r="G29" s="93">
        <f t="shared" si="13"/>
        <v>0</v>
      </c>
      <c r="H29" s="94">
        <f t="shared" si="1"/>
        <v>0</v>
      </c>
      <c r="I29" s="87"/>
      <c r="J29" s="92">
        <v>207746.56</v>
      </c>
      <c r="K29" s="92">
        <v>207746.56</v>
      </c>
      <c r="L29" s="93">
        <f t="shared" si="15"/>
        <v>0</v>
      </c>
      <c r="M29" s="94">
        <f t="shared" si="3"/>
        <v>0</v>
      </c>
      <c r="N29" s="87"/>
      <c r="O29" s="92">
        <v>207747</v>
      </c>
      <c r="P29" s="92">
        <v>300234.15000000002</v>
      </c>
      <c r="Q29" s="93">
        <f t="shared" si="17"/>
        <v>92487.150000000023</v>
      </c>
      <c r="R29" s="94">
        <f>IFERROR(Q29/ABS(O29), "-")</f>
        <v>0.44519126629987449</v>
      </c>
      <c r="S29" s="87"/>
      <c r="T29" s="92">
        <v>207747</v>
      </c>
      <c r="U29" s="92">
        <f>U32+U31+U30</f>
        <v>539217.17999999993</v>
      </c>
      <c r="V29" s="93">
        <f t="shared" si="19"/>
        <v>331470.17999999993</v>
      </c>
      <c r="W29" s="94">
        <f t="shared" si="7"/>
        <v>1.5955473725252347</v>
      </c>
      <c r="X29" s="87"/>
    </row>
    <row r="30" spans="1:24" ht="63" x14ac:dyDescent="0.2">
      <c r="A30" s="95">
        <v>15210</v>
      </c>
      <c r="B30" s="96" t="s">
        <v>264</v>
      </c>
      <c r="C30" s="97">
        <v>33275</v>
      </c>
      <c r="D30" s="97"/>
      <c r="E30" s="97"/>
      <c r="F30" s="97"/>
      <c r="G30" s="98">
        <f t="shared" si="13"/>
        <v>0</v>
      </c>
      <c r="H30" s="79" t="str">
        <f t="shared" si="1"/>
        <v>-</v>
      </c>
      <c r="I30" s="99"/>
      <c r="J30" s="97"/>
      <c r="K30" s="97"/>
      <c r="L30" s="98">
        <f t="shared" si="15"/>
        <v>0</v>
      </c>
      <c r="M30" s="79" t="str">
        <f t="shared" si="3"/>
        <v>-</v>
      </c>
      <c r="N30" s="99"/>
      <c r="O30" s="97"/>
      <c r="P30" s="97">
        <v>0</v>
      </c>
      <c r="Q30" s="98">
        <f t="shared" si="17"/>
        <v>0</v>
      </c>
      <c r="R30" s="79" t="str">
        <f t="shared" si="5"/>
        <v>-</v>
      </c>
      <c r="S30" s="99"/>
      <c r="T30" s="97"/>
      <c r="U30" s="97">
        <v>36300</v>
      </c>
      <c r="V30" s="98">
        <f t="shared" si="19"/>
        <v>36300</v>
      </c>
      <c r="W30" s="79" t="str">
        <f t="shared" si="7"/>
        <v>-</v>
      </c>
      <c r="X30" s="561" t="s">
        <v>730</v>
      </c>
    </row>
    <row r="31" spans="1:24" ht="205.5" customHeight="1" x14ac:dyDescent="0.2">
      <c r="A31" s="95">
        <v>15220</v>
      </c>
      <c r="B31" s="96" t="s">
        <v>262</v>
      </c>
      <c r="C31" s="97">
        <v>789907</v>
      </c>
      <c r="D31" s="97"/>
      <c r="E31" s="97"/>
      <c r="F31" s="97"/>
      <c r="G31" s="98">
        <f t="shared" si="13"/>
        <v>0</v>
      </c>
      <c r="H31" s="79" t="str">
        <f t="shared" si="1"/>
        <v>-</v>
      </c>
      <c r="I31" s="99"/>
      <c r="J31" s="97"/>
      <c r="K31" s="97"/>
      <c r="L31" s="98">
        <f t="shared" si="15"/>
        <v>0</v>
      </c>
      <c r="M31" s="79" t="str">
        <f t="shared" si="3"/>
        <v>-</v>
      </c>
      <c r="N31" s="99"/>
      <c r="O31" s="97"/>
      <c r="P31" s="97">
        <v>28000</v>
      </c>
      <c r="Q31" s="98">
        <f t="shared" si="17"/>
        <v>28000</v>
      </c>
      <c r="R31" s="79" t="str">
        <f t="shared" si="5"/>
        <v>-</v>
      </c>
      <c r="S31" s="99"/>
      <c r="T31" s="97">
        <v>207747</v>
      </c>
      <c r="U31" s="97">
        <f>507617.18-32700</f>
        <v>474917.18</v>
      </c>
      <c r="V31" s="98">
        <f t="shared" si="19"/>
        <v>267170.18</v>
      </c>
      <c r="W31" s="79">
        <f t="shared" si="7"/>
        <v>1.2860362845191506</v>
      </c>
      <c r="X31" s="562" t="s">
        <v>731</v>
      </c>
    </row>
    <row r="32" spans="1:24" ht="132" customHeight="1" x14ac:dyDescent="0.2">
      <c r="A32" s="95">
        <v>15230</v>
      </c>
      <c r="B32" s="96" t="s">
        <v>263</v>
      </c>
      <c r="C32" s="97">
        <v>265505</v>
      </c>
      <c r="D32" s="97"/>
      <c r="E32" s="97"/>
      <c r="F32" s="97"/>
      <c r="G32" s="98">
        <f t="shared" si="13"/>
        <v>0</v>
      </c>
      <c r="H32" s="79" t="str">
        <f t="shared" si="1"/>
        <v>-</v>
      </c>
      <c r="I32" s="100"/>
      <c r="J32" s="97"/>
      <c r="K32" s="97"/>
      <c r="L32" s="98">
        <f t="shared" si="15"/>
        <v>0</v>
      </c>
      <c r="M32" s="79" t="str">
        <f t="shared" si="3"/>
        <v>-</v>
      </c>
      <c r="N32" s="100"/>
      <c r="O32" s="97"/>
      <c r="P32" s="97">
        <v>272234</v>
      </c>
      <c r="Q32" s="98">
        <f t="shared" si="17"/>
        <v>272234</v>
      </c>
      <c r="R32" s="79" t="str">
        <f t="shared" si="5"/>
        <v>-</v>
      </c>
      <c r="S32" s="100"/>
      <c r="T32" s="97"/>
      <c r="U32" s="97">
        <v>28000</v>
      </c>
      <c r="V32" s="98">
        <f t="shared" si="19"/>
        <v>28000</v>
      </c>
      <c r="W32" s="79" t="str">
        <f t="shared" si="7"/>
        <v>-</v>
      </c>
      <c r="X32" s="562" t="s">
        <v>732</v>
      </c>
    </row>
    <row r="33" spans="1:24" ht="15.6" customHeight="1" x14ac:dyDescent="0.2">
      <c r="A33" s="34">
        <v>15300</v>
      </c>
      <c r="B33" s="88" t="s">
        <v>161</v>
      </c>
      <c r="C33" s="19">
        <v>0</v>
      </c>
      <c r="D33" s="19">
        <v>0</v>
      </c>
      <c r="E33" s="19">
        <v>0</v>
      </c>
      <c r="F33" s="19">
        <v>0</v>
      </c>
      <c r="G33" s="89">
        <f t="shared" si="13"/>
        <v>0</v>
      </c>
      <c r="H33" s="29" t="str">
        <f t="shared" si="1"/>
        <v>-</v>
      </c>
      <c r="I33" s="100"/>
      <c r="J33" s="19">
        <v>0</v>
      </c>
      <c r="K33" s="19">
        <v>0</v>
      </c>
      <c r="L33" s="89">
        <f t="shared" si="15"/>
        <v>0</v>
      </c>
      <c r="M33" s="29" t="str">
        <f t="shared" si="3"/>
        <v>-</v>
      </c>
      <c r="N33" s="100"/>
      <c r="O33" s="19">
        <v>0</v>
      </c>
      <c r="P33" s="19">
        <v>0</v>
      </c>
      <c r="Q33" s="89">
        <f t="shared" si="17"/>
        <v>0</v>
      </c>
      <c r="R33" s="29" t="str">
        <f t="shared" si="5"/>
        <v>-</v>
      </c>
      <c r="S33" s="100"/>
      <c r="T33" s="19">
        <v>0</v>
      </c>
      <c r="U33" s="19">
        <v>0</v>
      </c>
      <c r="V33" s="89">
        <f t="shared" si="19"/>
        <v>0</v>
      </c>
      <c r="W33" s="29" t="str">
        <f t="shared" si="7"/>
        <v>-</v>
      </c>
      <c r="X33" s="563"/>
    </row>
    <row r="34" spans="1:24" ht="30.6" customHeight="1" x14ac:dyDescent="0.2">
      <c r="A34" s="128">
        <v>16000</v>
      </c>
      <c r="B34" s="129" t="s">
        <v>274</v>
      </c>
      <c r="C34" s="130">
        <f>C21-C27</f>
        <v>-1088687</v>
      </c>
      <c r="D34" s="130">
        <f>D21-D27</f>
        <v>-207747</v>
      </c>
      <c r="E34" s="130">
        <f>E21-E27</f>
        <v>-121321.53</v>
      </c>
      <c r="F34" s="130">
        <v>-121321.53</v>
      </c>
      <c r="G34" s="131">
        <f t="shared" si="13"/>
        <v>0</v>
      </c>
      <c r="H34" s="121">
        <f t="shared" si="1"/>
        <v>0</v>
      </c>
      <c r="I34" s="331"/>
      <c r="J34" s="117">
        <f>J21-J27</f>
        <v>-207746.56</v>
      </c>
      <c r="K34" s="117">
        <v>-207746.56</v>
      </c>
      <c r="L34" s="120">
        <f t="shared" si="15"/>
        <v>0</v>
      </c>
      <c r="M34" s="121">
        <f t="shared" si="3"/>
        <v>0</v>
      </c>
      <c r="N34" s="331"/>
      <c r="O34" s="117">
        <v>-207747</v>
      </c>
      <c r="P34" s="117">
        <f>P21-P27</f>
        <v>-300234.15000000002</v>
      </c>
      <c r="Q34" s="120">
        <f t="shared" si="17"/>
        <v>-92487.150000000023</v>
      </c>
      <c r="R34" s="121">
        <f t="shared" si="5"/>
        <v>-0.44519126629987449</v>
      </c>
      <c r="S34" s="331"/>
      <c r="T34" s="117">
        <f>T21-T27</f>
        <v>-207747</v>
      </c>
      <c r="U34" s="117">
        <f>U21-U27</f>
        <v>-539217.17999999993</v>
      </c>
      <c r="V34" s="120">
        <f t="shared" si="19"/>
        <v>-331470.17999999993</v>
      </c>
      <c r="W34" s="121">
        <f t="shared" si="7"/>
        <v>-1.5955473725252347</v>
      </c>
      <c r="X34" s="564"/>
    </row>
    <row r="35" spans="1:24" ht="15.6" customHeight="1" x14ac:dyDescent="0.2">
      <c r="A35" s="326" t="s">
        <v>259</v>
      </c>
      <c r="B35" s="640" t="s">
        <v>164</v>
      </c>
      <c r="C35" s="640"/>
      <c r="D35" s="640"/>
      <c r="E35" s="640"/>
      <c r="F35" s="640"/>
      <c r="G35" s="640"/>
      <c r="H35" s="330" t="str">
        <f t="shared" si="1"/>
        <v>-</v>
      </c>
      <c r="I35" s="328"/>
      <c r="J35" s="329"/>
      <c r="K35" s="329"/>
      <c r="L35" s="329"/>
      <c r="M35" s="330" t="str">
        <f t="shared" si="3"/>
        <v>-</v>
      </c>
      <c r="N35" s="328"/>
      <c r="O35" s="329"/>
      <c r="P35" s="329"/>
      <c r="Q35" s="329"/>
      <c r="R35" s="330" t="str">
        <f t="shared" si="5"/>
        <v>-</v>
      </c>
      <c r="S35" s="328"/>
      <c r="T35" s="329"/>
      <c r="U35" s="329"/>
      <c r="V35" s="329"/>
      <c r="W35" s="330" t="str">
        <f t="shared" si="7"/>
        <v>-</v>
      </c>
      <c r="X35" s="565"/>
    </row>
    <row r="36" spans="1:24" ht="15.6" customHeight="1" x14ac:dyDescent="0.2">
      <c r="A36" s="132">
        <v>17000</v>
      </c>
      <c r="B36" s="133" t="s">
        <v>270</v>
      </c>
      <c r="C36" s="134">
        <f>C37+C38+C39</f>
        <v>168152</v>
      </c>
      <c r="D36" s="134">
        <f t="shared" ref="D36" si="20">D37+D38+D39</f>
        <v>0</v>
      </c>
      <c r="E36" s="134">
        <f>E37+E38+E39</f>
        <v>0</v>
      </c>
      <c r="F36" s="134">
        <v>0</v>
      </c>
      <c r="G36" s="135">
        <f t="shared" ref="G36:G54" si="21">F36-E36</f>
        <v>0</v>
      </c>
      <c r="H36" s="121" t="str">
        <f t="shared" si="1"/>
        <v>-</v>
      </c>
      <c r="I36" s="331"/>
      <c r="J36" s="117">
        <f>J37+J38+J39</f>
        <v>0</v>
      </c>
      <c r="K36" s="117">
        <v>0</v>
      </c>
      <c r="L36" s="120">
        <f t="shared" ref="L36:L54" si="22">K36-J36</f>
        <v>0</v>
      </c>
      <c r="M36" s="121" t="str">
        <f t="shared" si="3"/>
        <v>-</v>
      </c>
      <c r="N36" s="331"/>
      <c r="O36" s="117">
        <v>0</v>
      </c>
      <c r="P36" s="117">
        <f t="shared" ref="P36" si="23">P37+P38+P39</f>
        <v>0</v>
      </c>
      <c r="Q36" s="120">
        <f t="shared" ref="Q36:Q54" si="24">P36-O36</f>
        <v>0</v>
      </c>
      <c r="R36" s="121" t="str">
        <f t="shared" si="5"/>
        <v>-</v>
      </c>
      <c r="S36" s="331"/>
      <c r="T36" s="117">
        <f t="shared" ref="T36:U36" si="25">T37+T38+T39</f>
        <v>0</v>
      </c>
      <c r="U36" s="117">
        <f t="shared" si="25"/>
        <v>0</v>
      </c>
      <c r="V36" s="120">
        <f t="shared" ref="V36:V54" si="26">U36-T36</f>
        <v>0</v>
      </c>
      <c r="W36" s="121" t="str">
        <f t="shared" si="7"/>
        <v>-</v>
      </c>
      <c r="X36" s="564"/>
    </row>
    <row r="37" spans="1:24" ht="30.6" customHeight="1" x14ac:dyDescent="0.2">
      <c r="A37" s="101">
        <v>17100</v>
      </c>
      <c r="B37" s="102" t="s">
        <v>166</v>
      </c>
      <c r="C37" s="103"/>
      <c r="D37" s="103"/>
      <c r="E37" s="103"/>
      <c r="F37" s="103"/>
      <c r="G37" s="104">
        <f t="shared" si="21"/>
        <v>0</v>
      </c>
      <c r="H37" s="29" t="str">
        <f t="shared" si="1"/>
        <v>-</v>
      </c>
      <c r="I37" s="105"/>
      <c r="J37" s="103"/>
      <c r="K37" s="103"/>
      <c r="L37" s="104">
        <f t="shared" si="22"/>
        <v>0</v>
      </c>
      <c r="M37" s="29" t="str">
        <f t="shared" si="3"/>
        <v>-</v>
      </c>
      <c r="N37" s="105"/>
      <c r="O37" s="103"/>
      <c r="P37" s="103"/>
      <c r="Q37" s="104">
        <f t="shared" si="24"/>
        <v>0</v>
      </c>
      <c r="R37" s="29" t="str">
        <f t="shared" si="5"/>
        <v>-</v>
      </c>
      <c r="S37" s="105"/>
      <c r="T37" s="103"/>
      <c r="U37" s="103"/>
      <c r="V37" s="104">
        <f t="shared" si="26"/>
        <v>0</v>
      </c>
      <c r="W37" s="29" t="str">
        <f t="shared" si="7"/>
        <v>-</v>
      </c>
      <c r="X37" s="563"/>
    </row>
    <row r="38" spans="1:24" ht="15.6" customHeight="1" x14ac:dyDescent="0.2">
      <c r="A38" s="101">
        <v>17200</v>
      </c>
      <c r="B38" s="102" t="s">
        <v>269</v>
      </c>
      <c r="C38" s="103"/>
      <c r="D38" s="103"/>
      <c r="E38" s="103"/>
      <c r="F38" s="103"/>
      <c r="G38" s="104">
        <f t="shared" si="21"/>
        <v>0</v>
      </c>
      <c r="H38" s="29" t="str">
        <f t="shared" si="1"/>
        <v>-</v>
      </c>
      <c r="I38" s="105"/>
      <c r="J38" s="103"/>
      <c r="K38" s="103"/>
      <c r="L38" s="104">
        <f t="shared" si="22"/>
        <v>0</v>
      </c>
      <c r="M38" s="29" t="str">
        <f t="shared" si="3"/>
        <v>-</v>
      </c>
      <c r="N38" s="105"/>
      <c r="O38" s="103"/>
      <c r="P38" s="103"/>
      <c r="Q38" s="104">
        <f t="shared" si="24"/>
        <v>0</v>
      </c>
      <c r="R38" s="29" t="str">
        <f t="shared" si="5"/>
        <v>-</v>
      </c>
      <c r="S38" s="105"/>
      <c r="T38" s="103"/>
      <c r="U38" s="103"/>
      <c r="V38" s="104">
        <f t="shared" si="26"/>
        <v>0</v>
      </c>
      <c r="W38" s="29" t="str">
        <f t="shared" si="7"/>
        <v>-</v>
      </c>
      <c r="X38" s="563"/>
    </row>
    <row r="39" spans="1:24" ht="15.6" customHeight="1" x14ac:dyDescent="0.2">
      <c r="A39" s="67">
        <v>17300</v>
      </c>
      <c r="B39" s="68" t="s">
        <v>165</v>
      </c>
      <c r="C39" s="69">
        <v>168152</v>
      </c>
      <c r="D39" s="69"/>
      <c r="E39" s="69"/>
      <c r="F39" s="69"/>
      <c r="G39" s="70">
        <f t="shared" si="21"/>
        <v>0</v>
      </c>
      <c r="H39" s="71" t="str">
        <f t="shared" si="1"/>
        <v>-</v>
      </c>
      <c r="I39" s="138"/>
      <c r="J39" s="69"/>
      <c r="K39" s="69"/>
      <c r="L39" s="70">
        <f t="shared" si="22"/>
        <v>0</v>
      </c>
      <c r="M39" s="71" t="str">
        <f t="shared" si="3"/>
        <v>-</v>
      </c>
      <c r="N39" s="138"/>
      <c r="O39" s="69"/>
      <c r="P39" s="69"/>
      <c r="Q39" s="70">
        <f t="shared" si="24"/>
        <v>0</v>
      </c>
      <c r="R39" s="71" t="str">
        <f t="shared" si="5"/>
        <v>-</v>
      </c>
      <c r="S39" s="106"/>
      <c r="T39" s="69"/>
      <c r="U39" s="69"/>
      <c r="V39" s="70">
        <f t="shared" si="26"/>
        <v>0</v>
      </c>
      <c r="W39" s="71" t="str">
        <f t="shared" si="7"/>
        <v>-</v>
      </c>
      <c r="X39" s="563"/>
    </row>
    <row r="40" spans="1:24" ht="15.6" customHeight="1" x14ac:dyDescent="0.2">
      <c r="A40" s="136">
        <v>18000</v>
      </c>
      <c r="B40" s="127" t="s">
        <v>271</v>
      </c>
      <c r="C40" s="117">
        <f>C41+C42+C43</f>
        <v>0</v>
      </c>
      <c r="D40" s="117">
        <f t="shared" ref="D40:E40" si="27">D41+D42+D43</f>
        <v>0</v>
      </c>
      <c r="E40" s="117">
        <f t="shared" si="27"/>
        <v>0</v>
      </c>
      <c r="F40" s="117">
        <v>0</v>
      </c>
      <c r="G40" s="120">
        <f t="shared" si="21"/>
        <v>0</v>
      </c>
      <c r="H40" s="121" t="str">
        <f t="shared" si="1"/>
        <v>-</v>
      </c>
      <c r="I40" s="331"/>
      <c r="J40" s="117">
        <f t="shared" ref="J40" si="28">J41+J42+J43</f>
        <v>0</v>
      </c>
      <c r="K40" s="117">
        <v>0</v>
      </c>
      <c r="L40" s="120">
        <f t="shared" si="22"/>
        <v>0</v>
      </c>
      <c r="M40" s="121" t="str">
        <f t="shared" si="3"/>
        <v>-</v>
      </c>
      <c r="N40" s="331"/>
      <c r="O40" s="117">
        <v>0</v>
      </c>
      <c r="P40" s="117">
        <f t="shared" ref="P40" si="29">P41+P42+P43</f>
        <v>0</v>
      </c>
      <c r="Q40" s="120">
        <f t="shared" si="24"/>
        <v>0</v>
      </c>
      <c r="R40" s="121" t="str">
        <f t="shared" si="5"/>
        <v>-</v>
      </c>
      <c r="S40" s="331"/>
      <c r="T40" s="117">
        <f t="shared" ref="T40:U40" si="30">T41+T42+T43</f>
        <v>0</v>
      </c>
      <c r="U40" s="117">
        <f t="shared" si="30"/>
        <v>0</v>
      </c>
      <c r="V40" s="120">
        <f t="shared" si="26"/>
        <v>0</v>
      </c>
      <c r="W40" s="121" t="str">
        <f t="shared" si="7"/>
        <v>-</v>
      </c>
      <c r="X40" s="331"/>
    </row>
    <row r="41" spans="1:24" ht="15.6" customHeight="1" x14ac:dyDescent="0.2">
      <c r="A41" s="107">
        <v>18100</v>
      </c>
      <c r="B41" s="16" t="s">
        <v>272</v>
      </c>
      <c r="C41" s="103"/>
      <c r="D41" s="103"/>
      <c r="E41" s="103"/>
      <c r="F41" s="103"/>
      <c r="G41" s="104">
        <f t="shared" si="21"/>
        <v>0</v>
      </c>
      <c r="H41" s="29" t="str">
        <f t="shared" si="1"/>
        <v>-</v>
      </c>
      <c r="I41" s="108"/>
      <c r="J41" s="103"/>
      <c r="K41" s="103"/>
      <c r="L41" s="104">
        <f t="shared" si="22"/>
        <v>0</v>
      </c>
      <c r="M41" s="29" t="str">
        <f t="shared" si="3"/>
        <v>-</v>
      </c>
      <c r="N41" s="108"/>
      <c r="O41" s="103"/>
      <c r="P41" s="103"/>
      <c r="Q41" s="104">
        <f t="shared" si="24"/>
        <v>0</v>
      </c>
      <c r="R41" s="29" t="str">
        <f t="shared" si="5"/>
        <v>-</v>
      </c>
      <c r="S41" s="108"/>
      <c r="T41" s="103"/>
      <c r="U41" s="103"/>
      <c r="V41" s="104">
        <f t="shared" si="26"/>
        <v>0</v>
      </c>
      <c r="W41" s="29" t="str">
        <f t="shared" si="7"/>
        <v>-</v>
      </c>
      <c r="X41" s="108"/>
    </row>
    <row r="42" spans="1:24" ht="15.6" customHeight="1" x14ac:dyDescent="0.2">
      <c r="A42" s="107">
        <v>18200</v>
      </c>
      <c r="B42" s="16" t="s">
        <v>167</v>
      </c>
      <c r="C42" s="103"/>
      <c r="D42" s="103"/>
      <c r="E42" s="103"/>
      <c r="F42" s="103"/>
      <c r="G42" s="104">
        <f t="shared" si="21"/>
        <v>0</v>
      </c>
      <c r="H42" s="29" t="str">
        <f t="shared" si="1"/>
        <v>-</v>
      </c>
      <c r="I42" s="108"/>
      <c r="J42" s="103"/>
      <c r="K42" s="103"/>
      <c r="L42" s="104">
        <f t="shared" si="22"/>
        <v>0</v>
      </c>
      <c r="M42" s="29" t="str">
        <f t="shared" si="3"/>
        <v>-</v>
      </c>
      <c r="N42" s="108"/>
      <c r="O42" s="103"/>
      <c r="P42" s="103"/>
      <c r="Q42" s="104">
        <f t="shared" si="24"/>
        <v>0</v>
      </c>
      <c r="R42" s="29" t="str">
        <f t="shared" si="5"/>
        <v>-</v>
      </c>
      <c r="S42" s="108"/>
      <c r="T42" s="103"/>
      <c r="U42" s="103"/>
      <c r="V42" s="104">
        <f t="shared" si="26"/>
        <v>0</v>
      </c>
      <c r="W42" s="29" t="str">
        <f t="shared" si="7"/>
        <v>-</v>
      </c>
      <c r="X42" s="108"/>
    </row>
    <row r="43" spans="1:24" ht="15.6" customHeight="1" x14ac:dyDescent="0.2">
      <c r="A43" s="107">
        <v>18300</v>
      </c>
      <c r="B43" s="16" t="s">
        <v>168</v>
      </c>
      <c r="C43" s="103"/>
      <c r="D43" s="103"/>
      <c r="E43" s="103"/>
      <c r="F43" s="103"/>
      <c r="G43" s="104">
        <f t="shared" si="21"/>
        <v>0</v>
      </c>
      <c r="H43" s="29" t="str">
        <f t="shared" si="1"/>
        <v>-</v>
      </c>
      <c r="I43" s="108"/>
      <c r="J43" s="103"/>
      <c r="K43" s="103"/>
      <c r="L43" s="104">
        <f t="shared" si="22"/>
        <v>0</v>
      </c>
      <c r="M43" s="29" t="str">
        <f t="shared" si="3"/>
        <v>-</v>
      </c>
      <c r="N43" s="108"/>
      <c r="O43" s="103"/>
      <c r="P43" s="103"/>
      <c r="Q43" s="104">
        <f t="shared" si="24"/>
        <v>0</v>
      </c>
      <c r="R43" s="29" t="str">
        <f t="shared" si="5"/>
        <v>-</v>
      </c>
      <c r="S43" s="108"/>
      <c r="T43" s="103"/>
      <c r="U43" s="103"/>
      <c r="V43" s="104">
        <f t="shared" si="26"/>
        <v>0</v>
      </c>
      <c r="W43" s="29" t="str">
        <f t="shared" si="7"/>
        <v>-</v>
      </c>
      <c r="X43" s="108"/>
    </row>
    <row r="44" spans="1:24" ht="30.6" customHeight="1" x14ac:dyDescent="0.2">
      <c r="A44" s="115">
        <v>19000</v>
      </c>
      <c r="B44" s="137" t="s">
        <v>273</v>
      </c>
      <c r="C44" s="117">
        <f>C36-C40</f>
        <v>168152</v>
      </c>
      <c r="D44" s="117">
        <f>D36-D40</f>
        <v>0</v>
      </c>
      <c r="E44" s="117">
        <f>E36-E40</f>
        <v>0</v>
      </c>
      <c r="F44" s="117">
        <v>0</v>
      </c>
      <c r="G44" s="120">
        <f t="shared" si="21"/>
        <v>0</v>
      </c>
      <c r="H44" s="121" t="str">
        <f t="shared" si="1"/>
        <v>-</v>
      </c>
      <c r="I44" s="331"/>
      <c r="J44" s="117">
        <f>J36-J40</f>
        <v>0</v>
      </c>
      <c r="K44" s="117">
        <v>0</v>
      </c>
      <c r="L44" s="120">
        <f t="shared" si="22"/>
        <v>0</v>
      </c>
      <c r="M44" s="121" t="str">
        <f t="shared" si="3"/>
        <v>-</v>
      </c>
      <c r="N44" s="331"/>
      <c r="O44" s="117">
        <v>0</v>
      </c>
      <c r="P44" s="117">
        <f>P36-P40</f>
        <v>0</v>
      </c>
      <c r="Q44" s="120">
        <f t="shared" si="24"/>
        <v>0</v>
      </c>
      <c r="R44" s="121" t="str">
        <f t="shared" si="5"/>
        <v>-</v>
      </c>
      <c r="S44" s="331"/>
      <c r="T44" s="117">
        <f>T36-T40</f>
        <v>0</v>
      </c>
      <c r="U44" s="117">
        <f>U36-U40</f>
        <v>0</v>
      </c>
      <c r="V44" s="120">
        <f t="shared" si="26"/>
        <v>0</v>
      </c>
      <c r="W44" s="121" t="str">
        <f t="shared" si="7"/>
        <v>-</v>
      </c>
      <c r="X44" s="331"/>
    </row>
    <row r="45" spans="1:24" ht="15.6" customHeight="1" x14ac:dyDescent="0.2">
      <c r="A45" s="109">
        <v>20100</v>
      </c>
      <c r="B45" s="110" t="s">
        <v>169</v>
      </c>
      <c r="C45" s="111"/>
      <c r="D45" s="112"/>
      <c r="E45" s="111"/>
      <c r="F45" s="111"/>
      <c r="G45" s="113">
        <f t="shared" si="21"/>
        <v>0</v>
      </c>
      <c r="H45" s="114" t="str">
        <f t="shared" si="1"/>
        <v>-</v>
      </c>
      <c r="I45" s="105"/>
      <c r="J45" s="111"/>
      <c r="K45" s="111"/>
      <c r="L45" s="113">
        <f t="shared" si="22"/>
        <v>0</v>
      </c>
      <c r="M45" s="114" t="str">
        <f t="shared" si="3"/>
        <v>-</v>
      </c>
      <c r="N45" s="105"/>
      <c r="O45" s="111"/>
      <c r="P45" s="111"/>
      <c r="Q45" s="113">
        <f t="shared" si="24"/>
        <v>0</v>
      </c>
      <c r="R45" s="114" t="str">
        <f t="shared" si="5"/>
        <v>-</v>
      </c>
      <c r="S45" s="105"/>
      <c r="T45" s="111"/>
      <c r="U45" s="111"/>
      <c r="V45" s="113">
        <f t="shared" si="26"/>
        <v>0</v>
      </c>
      <c r="W45" s="114" t="str">
        <f t="shared" si="7"/>
        <v>-</v>
      </c>
      <c r="X45" s="105"/>
    </row>
    <row r="46" spans="1:24" ht="31.5" customHeight="1" x14ac:dyDescent="0.2">
      <c r="A46" s="109">
        <v>20200</v>
      </c>
      <c r="B46" s="110" t="s">
        <v>170</v>
      </c>
      <c r="C46" s="111"/>
      <c r="D46" s="112"/>
      <c r="E46" s="111"/>
      <c r="F46" s="111"/>
      <c r="G46" s="113">
        <f t="shared" si="21"/>
        <v>0</v>
      </c>
      <c r="H46" s="114" t="str">
        <f t="shared" si="1"/>
        <v>-</v>
      </c>
      <c r="I46" s="105"/>
      <c r="J46" s="111"/>
      <c r="K46" s="111"/>
      <c r="L46" s="113">
        <f t="shared" si="22"/>
        <v>0</v>
      </c>
      <c r="M46" s="114" t="str">
        <f t="shared" si="3"/>
        <v>-</v>
      </c>
      <c r="N46" s="105"/>
      <c r="O46" s="111"/>
      <c r="P46" s="111"/>
      <c r="Q46" s="113">
        <f t="shared" si="24"/>
        <v>0</v>
      </c>
      <c r="R46" s="114" t="str">
        <f t="shared" si="5"/>
        <v>-</v>
      </c>
      <c r="S46" s="105"/>
      <c r="T46" s="111"/>
      <c r="U46" s="111"/>
      <c r="V46" s="113">
        <f t="shared" si="26"/>
        <v>0</v>
      </c>
      <c r="W46" s="114" t="str">
        <f t="shared" si="7"/>
        <v>-</v>
      </c>
      <c r="X46" s="105"/>
    </row>
    <row r="47" spans="1:24" ht="15.6" customHeight="1" x14ac:dyDescent="0.2">
      <c r="A47" s="115">
        <v>21000</v>
      </c>
      <c r="B47" s="122" t="s">
        <v>171</v>
      </c>
      <c r="C47" s="118">
        <f>C3+C19+C34+C44+C45+C46</f>
        <v>327840.4299999997</v>
      </c>
      <c r="D47" s="118">
        <f>D3+D19+D34+D44+D45+D46</f>
        <v>598788.4299999997</v>
      </c>
      <c r="E47" s="118">
        <f>E3+E19+E34+E44+E45+E46</f>
        <v>1009718.0400000003</v>
      </c>
      <c r="F47" s="118">
        <v>1009718.0400000003</v>
      </c>
      <c r="G47" s="119">
        <f t="shared" si="21"/>
        <v>0</v>
      </c>
      <c r="H47" s="30">
        <f t="shared" si="1"/>
        <v>0</v>
      </c>
      <c r="I47" s="641"/>
      <c r="J47" s="118">
        <f>J49+J51+J52</f>
        <v>911926</v>
      </c>
      <c r="K47" s="118">
        <v>911926</v>
      </c>
      <c r="L47" s="119">
        <f t="shared" si="22"/>
        <v>0</v>
      </c>
      <c r="M47" s="30">
        <f t="shared" si="3"/>
        <v>0</v>
      </c>
      <c r="N47" s="644"/>
      <c r="O47" s="118">
        <v>462276.4299999997</v>
      </c>
      <c r="P47" s="118">
        <f>P3+P19+P34+P44+P45+P46</f>
        <v>863461.34000000206</v>
      </c>
      <c r="Q47" s="119">
        <f t="shared" si="24"/>
        <v>401184.91000000236</v>
      </c>
      <c r="R47" s="30">
        <f t="shared" si="5"/>
        <v>0.86784634466438759</v>
      </c>
      <c r="S47" s="634" t="s">
        <v>714</v>
      </c>
      <c r="T47" s="118">
        <f>T3+T19+T34+T44+T45+T46</f>
        <v>598788.42999999993</v>
      </c>
      <c r="U47" s="118">
        <f>U3+U19+U34+U44+U45+U46</f>
        <v>341159.26999999559</v>
      </c>
      <c r="V47" s="119">
        <f t="shared" si="26"/>
        <v>-257629.16000000434</v>
      </c>
      <c r="W47" s="30">
        <f t="shared" si="7"/>
        <v>-0.43025073146454146</v>
      </c>
      <c r="X47" s="637" t="s">
        <v>720</v>
      </c>
    </row>
    <row r="48" spans="1:24" ht="15.6" customHeight="1" x14ac:dyDescent="0.2">
      <c r="A48" s="566">
        <v>21100</v>
      </c>
      <c r="B48" s="110" t="s">
        <v>172</v>
      </c>
      <c r="C48" s="111"/>
      <c r="D48" s="112"/>
      <c r="E48" s="111"/>
      <c r="F48" s="111"/>
      <c r="G48" s="113">
        <f t="shared" si="21"/>
        <v>0</v>
      </c>
      <c r="H48" s="114" t="str">
        <f t="shared" si="1"/>
        <v>-</v>
      </c>
      <c r="I48" s="642"/>
      <c r="J48" s="111"/>
      <c r="K48" s="111"/>
      <c r="L48" s="113">
        <f t="shared" si="22"/>
        <v>0</v>
      </c>
      <c r="M48" s="114" t="str">
        <f t="shared" si="3"/>
        <v>-</v>
      </c>
      <c r="N48" s="645"/>
      <c r="O48" s="111"/>
      <c r="P48" s="111"/>
      <c r="Q48" s="113">
        <f>P48-O48</f>
        <v>0</v>
      </c>
      <c r="R48" s="114" t="str">
        <f>IFERROR(Q48/ABS(O48), "-")</f>
        <v>-</v>
      </c>
      <c r="S48" s="635"/>
      <c r="T48" s="111"/>
      <c r="U48" s="111"/>
      <c r="V48" s="113">
        <f t="shared" si="26"/>
        <v>0</v>
      </c>
      <c r="W48" s="114" t="str">
        <f t="shared" si="7"/>
        <v>-</v>
      </c>
      <c r="X48" s="638"/>
    </row>
    <row r="49" spans="1:24" ht="15.6" customHeight="1" x14ac:dyDescent="0.2">
      <c r="A49" s="566">
        <v>21200</v>
      </c>
      <c r="B49" s="110" t="s">
        <v>173</v>
      </c>
      <c r="C49" s="111">
        <v>168152</v>
      </c>
      <c r="D49" s="111">
        <v>168152</v>
      </c>
      <c r="E49" s="111">
        <v>168152.34</v>
      </c>
      <c r="F49" s="111">
        <v>168152.34</v>
      </c>
      <c r="G49" s="113">
        <f t="shared" si="21"/>
        <v>0</v>
      </c>
      <c r="H49" s="114">
        <f t="shared" si="1"/>
        <v>0</v>
      </c>
      <c r="I49" s="642"/>
      <c r="J49" s="111">
        <v>168152</v>
      </c>
      <c r="K49" s="111">
        <v>168152</v>
      </c>
      <c r="L49" s="113">
        <f t="shared" si="22"/>
        <v>0</v>
      </c>
      <c r="M49" s="114">
        <f t="shared" si="3"/>
        <v>0</v>
      </c>
      <c r="N49" s="645"/>
      <c r="O49" s="111">
        <v>168152</v>
      </c>
      <c r="P49" s="111">
        <v>168152.34</v>
      </c>
      <c r="Q49" s="113">
        <f>P49-O49</f>
        <v>0.33999999999650754</v>
      </c>
      <c r="R49" s="114">
        <f>IFERROR(Q49/ABS(O49), "-")</f>
        <v>2.0219801132101167E-6</v>
      </c>
      <c r="S49" s="635"/>
      <c r="T49" s="111">
        <v>168152</v>
      </c>
      <c r="U49" s="111">
        <v>168152.34</v>
      </c>
      <c r="V49" s="113">
        <f t="shared" si="26"/>
        <v>0.33999999999650754</v>
      </c>
      <c r="W49" s="114">
        <f t="shared" si="7"/>
        <v>2.0219801132101167E-6</v>
      </c>
      <c r="X49" s="638"/>
    </row>
    <row r="50" spans="1:24" ht="15.6" customHeight="1" x14ac:dyDescent="0.2">
      <c r="A50" s="566">
        <v>21300</v>
      </c>
      <c r="B50" s="110" t="s">
        <v>174</v>
      </c>
      <c r="C50" s="111"/>
      <c r="D50" s="112"/>
      <c r="E50" s="111"/>
      <c r="F50" s="111"/>
      <c r="G50" s="113">
        <f t="shared" si="21"/>
        <v>0</v>
      </c>
      <c r="H50" s="114" t="str">
        <f t="shared" si="1"/>
        <v>-</v>
      </c>
      <c r="I50" s="642"/>
      <c r="J50" s="111"/>
      <c r="K50" s="111"/>
      <c r="L50" s="113">
        <f t="shared" si="22"/>
        <v>0</v>
      </c>
      <c r="M50" s="114" t="str">
        <f t="shared" si="3"/>
        <v>-</v>
      </c>
      <c r="N50" s="645"/>
      <c r="O50" s="111"/>
      <c r="P50" s="111"/>
      <c r="Q50" s="113">
        <f t="shared" si="24"/>
        <v>0</v>
      </c>
      <c r="R50" s="114" t="str">
        <f t="shared" si="5"/>
        <v>-</v>
      </c>
      <c r="S50" s="635"/>
      <c r="T50" s="111"/>
      <c r="U50" s="111"/>
      <c r="V50" s="113">
        <f t="shared" si="26"/>
        <v>0</v>
      </c>
      <c r="W50" s="114" t="str">
        <f t="shared" si="7"/>
        <v>-</v>
      </c>
      <c r="X50" s="638"/>
    </row>
    <row r="51" spans="1:24" ht="15.6" customHeight="1" x14ac:dyDescent="0.2">
      <c r="A51" s="566">
        <v>21400</v>
      </c>
      <c r="B51" s="110" t="s">
        <v>175</v>
      </c>
      <c r="C51" s="111">
        <v>1168</v>
      </c>
      <c r="D51" s="111">
        <v>1168</v>
      </c>
      <c r="E51" s="111">
        <v>1168</v>
      </c>
      <c r="F51" s="111">
        <v>1168</v>
      </c>
      <c r="G51" s="113">
        <f t="shared" si="21"/>
        <v>0</v>
      </c>
      <c r="H51" s="114">
        <f t="shared" si="1"/>
        <v>0</v>
      </c>
      <c r="I51" s="642"/>
      <c r="J51" s="111">
        <v>1168</v>
      </c>
      <c r="K51" s="111">
        <v>1168</v>
      </c>
      <c r="L51" s="113">
        <f t="shared" si="22"/>
        <v>0</v>
      </c>
      <c r="M51" s="114">
        <f t="shared" si="3"/>
        <v>0</v>
      </c>
      <c r="N51" s="645"/>
      <c r="O51" s="111">
        <v>1168</v>
      </c>
      <c r="P51" s="111">
        <v>1176</v>
      </c>
      <c r="Q51" s="113">
        <f t="shared" si="24"/>
        <v>8</v>
      </c>
      <c r="R51" s="114">
        <f t="shared" si="5"/>
        <v>6.8493150684931503E-3</v>
      </c>
      <c r="S51" s="635"/>
      <c r="T51" s="111">
        <v>1168</v>
      </c>
      <c r="U51" s="111">
        <v>1180.4100000000001</v>
      </c>
      <c r="V51" s="113">
        <f t="shared" si="26"/>
        <v>12.410000000000082</v>
      </c>
      <c r="W51" s="114">
        <f t="shared" si="7"/>
        <v>1.062500000000007E-2</v>
      </c>
      <c r="X51" s="638"/>
    </row>
    <row r="52" spans="1:24" ht="15.6" customHeight="1" x14ac:dyDescent="0.2">
      <c r="A52" s="566">
        <v>21500</v>
      </c>
      <c r="B52" s="110" t="s">
        <v>176</v>
      </c>
      <c r="C52" s="111">
        <v>158520</v>
      </c>
      <c r="D52" s="111">
        <v>429468</v>
      </c>
      <c r="E52" s="111">
        <v>840398</v>
      </c>
      <c r="F52" s="111">
        <v>840398</v>
      </c>
      <c r="G52" s="113">
        <f t="shared" si="21"/>
        <v>0</v>
      </c>
      <c r="H52" s="114">
        <f t="shared" si="1"/>
        <v>0</v>
      </c>
      <c r="I52" s="642"/>
      <c r="J52" s="111">
        <v>742606</v>
      </c>
      <c r="K52" s="111">
        <v>742606</v>
      </c>
      <c r="L52" s="113">
        <f t="shared" si="22"/>
        <v>0</v>
      </c>
      <c r="M52" s="114">
        <f t="shared" si="3"/>
        <v>0</v>
      </c>
      <c r="N52" s="645"/>
      <c r="O52" s="111">
        <v>292956</v>
      </c>
      <c r="P52" s="111">
        <v>694133</v>
      </c>
      <c r="Q52" s="113">
        <f t="shared" si="24"/>
        <v>401177</v>
      </c>
      <c r="R52" s="114">
        <f t="shared" si="5"/>
        <v>1.3694104234082933</v>
      </c>
      <c r="S52" s="635"/>
      <c r="T52" s="111">
        <v>429468</v>
      </c>
      <c r="U52" s="111">
        <f>171771+55</f>
        <v>171826</v>
      </c>
      <c r="V52" s="113">
        <f t="shared" si="26"/>
        <v>-257642</v>
      </c>
      <c r="W52" s="114">
        <f t="shared" si="7"/>
        <v>-0.59990965566701127</v>
      </c>
      <c r="X52" s="638"/>
    </row>
    <row r="53" spans="1:24" ht="15.6" customHeight="1" x14ac:dyDescent="0.2">
      <c r="A53" s="566">
        <v>21600</v>
      </c>
      <c r="B53" s="110" t="s">
        <v>177</v>
      </c>
      <c r="C53" s="111"/>
      <c r="D53" s="112"/>
      <c r="E53" s="111"/>
      <c r="F53" s="111"/>
      <c r="G53" s="113">
        <f t="shared" si="21"/>
        <v>0</v>
      </c>
      <c r="H53" s="114" t="str">
        <f t="shared" si="1"/>
        <v>-</v>
      </c>
      <c r="I53" s="642"/>
      <c r="J53" s="111"/>
      <c r="K53" s="111"/>
      <c r="L53" s="113">
        <f t="shared" si="22"/>
        <v>0</v>
      </c>
      <c r="M53" s="114" t="str">
        <f t="shared" si="3"/>
        <v>-</v>
      </c>
      <c r="N53" s="645"/>
      <c r="O53" s="111"/>
      <c r="P53" s="111"/>
      <c r="Q53" s="113">
        <f t="shared" si="24"/>
        <v>0</v>
      </c>
      <c r="R53" s="114" t="str">
        <f t="shared" si="5"/>
        <v>-</v>
      </c>
      <c r="S53" s="635"/>
      <c r="T53" s="111"/>
      <c r="U53" s="111"/>
      <c r="V53" s="113">
        <f t="shared" si="26"/>
        <v>0</v>
      </c>
      <c r="W53" s="114" t="str">
        <f t="shared" si="7"/>
        <v>-</v>
      </c>
      <c r="X53" s="638"/>
    </row>
    <row r="54" spans="1:24" ht="15.6" customHeight="1" x14ac:dyDescent="0.2">
      <c r="A54" s="566">
        <v>21700</v>
      </c>
      <c r="B54" s="110" t="s">
        <v>178</v>
      </c>
      <c r="C54" s="111"/>
      <c r="D54" s="112"/>
      <c r="E54" s="111"/>
      <c r="F54" s="111"/>
      <c r="G54" s="113">
        <f t="shared" si="21"/>
        <v>0</v>
      </c>
      <c r="H54" s="114" t="str">
        <f t="shared" si="1"/>
        <v>-</v>
      </c>
      <c r="I54" s="643"/>
      <c r="J54" s="111"/>
      <c r="K54" s="111"/>
      <c r="L54" s="113">
        <f t="shared" si="22"/>
        <v>0</v>
      </c>
      <c r="M54" s="114" t="str">
        <f t="shared" si="3"/>
        <v>-</v>
      </c>
      <c r="N54" s="646"/>
      <c r="O54" s="111"/>
      <c r="P54" s="111"/>
      <c r="Q54" s="113">
        <f t="shared" si="24"/>
        <v>0</v>
      </c>
      <c r="R54" s="114" t="str">
        <f t="shared" si="5"/>
        <v>-</v>
      </c>
      <c r="S54" s="636"/>
      <c r="T54" s="111"/>
      <c r="U54" s="111"/>
      <c r="V54" s="113">
        <f t="shared" si="26"/>
        <v>0</v>
      </c>
      <c r="W54" s="114" t="str">
        <f t="shared" si="7"/>
        <v>-</v>
      </c>
      <c r="X54" s="639"/>
    </row>
    <row r="55" spans="1:24" x14ac:dyDescent="0.2">
      <c r="A55" s="567"/>
      <c r="B55" s="568"/>
      <c r="C55" s="192"/>
      <c r="D55" s="569"/>
      <c r="E55" s="192"/>
      <c r="F55" s="192"/>
      <c r="G55" s="193"/>
      <c r="H55" s="194"/>
      <c r="I55" s="195"/>
      <c r="J55" s="192"/>
      <c r="K55" s="192"/>
      <c r="L55" s="193"/>
      <c r="M55" s="194"/>
      <c r="N55" s="195"/>
      <c r="O55" s="192"/>
      <c r="P55" s="192"/>
      <c r="Q55" s="193"/>
      <c r="R55" s="194"/>
      <c r="S55" s="195"/>
      <c r="T55" s="192"/>
      <c r="U55" s="192"/>
      <c r="V55" s="193"/>
      <c r="W55" s="194"/>
      <c r="X55" s="195"/>
    </row>
    <row r="56" spans="1:24" x14ac:dyDescent="0.2">
      <c r="A56" s="31" t="s">
        <v>441</v>
      </c>
      <c r="B56" s="42"/>
      <c r="C56" s="42"/>
      <c r="D56" s="42"/>
      <c r="E56" s="42"/>
      <c r="F56" s="42"/>
      <c r="G56" s="55"/>
      <c r="H56" s="55"/>
      <c r="I56" s="42"/>
      <c r="J56" s="42"/>
      <c r="K56" s="42"/>
      <c r="L56" s="55"/>
      <c r="M56" s="55"/>
      <c r="N56" s="42"/>
      <c r="O56" s="42"/>
      <c r="P56" s="192"/>
      <c r="Q56" s="193"/>
      <c r="R56" s="194"/>
      <c r="S56" s="195"/>
      <c r="T56" s="192"/>
      <c r="U56" s="192"/>
      <c r="V56" s="193"/>
      <c r="W56" s="194"/>
      <c r="X56" s="195"/>
    </row>
    <row r="57" spans="1:24" ht="36.6" customHeight="1" x14ac:dyDescent="0.2">
      <c r="A57" s="626" t="s">
        <v>525</v>
      </c>
      <c r="B57" s="626"/>
      <c r="C57" s="626"/>
      <c r="D57" s="626"/>
      <c r="E57" s="626"/>
      <c r="F57" s="626"/>
      <c r="G57" s="626"/>
      <c r="H57" s="65"/>
      <c r="I57" s="65"/>
      <c r="J57" s="65"/>
      <c r="K57" s="65"/>
      <c r="L57" s="65"/>
      <c r="M57" s="65"/>
      <c r="N57" s="65"/>
      <c r="O57" s="65"/>
    </row>
  </sheetData>
  <sheetProtection formatColumns="0" formatRows="0" insertRows="0" deleteRows="0"/>
  <mergeCells count="8">
    <mergeCell ref="A57:G57"/>
    <mergeCell ref="S47:S54"/>
    <mergeCell ref="X47:X54"/>
    <mergeCell ref="B4:G4"/>
    <mergeCell ref="B20:G20"/>
    <mergeCell ref="B35:G35"/>
    <mergeCell ref="I47:I54"/>
    <mergeCell ref="N47:N54"/>
  </mergeCells>
  <pageMargins left="0.23622047244094491" right="0.23622047244094491" top="0.74803149606299213" bottom="0.74803149606299213" header="0.31496062992125984" footer="0.31496062992125984"/>
  <pageSetup paperSize="9" scale="91" fitToHeight="0" orientation="landscape" r:id="rId1"/>
  <headerFooter>
    <oddHeader>&amp;C&amp;"Times New Roman,Bold"&amp;14Naudas plūsmas pārskats&amp;R&amp;"Times New Roman,Regular"&amp;14 4.pielikums</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K105"/>
  <sheetViews>
    <sheetView zoomScale="90" zoomScaleNormal="90" zoomScaleSheetLayoutView="90" zoomScalePageLayoutView="40" workbookViewId="0">
      <pane ySplit="1" topLeftCell="A2" activePane="bottomLeft" state="frozen"/>
      <selection pane="bottomLeft" activeCell="C1" sqref="C1"/>
    </sheetView>
  </sheetViews>
  <sheetFormatPr defaultColWidth="9.140625" defaultRowHeight="18.75" outlineLevelCol="1" x14ac:dyDescent="0.2"/>
  <cols>
    <col min="1" max="1" width="9.5703125" style="11" customWidth="1"/>
    <col min="2" max="2" width="50.28515625" style="11" customWidth="1"/>
    <col min="3" max="3" width="15.85546875" style="11" customWidth="1"/>
    <col min="4" max="4" width="15.5703125" style="12" customWidth="1"/>
    <col min="5" max="5" width="22" style="11" customWidth="1"/>
    <col min="6" max="6" width="20.5703125" style="11" customWidth="1" outlineLevel="1"/>
    <col min="7" max="7" width="22.5703125" style="11" customWidth="1" outlineLevel="1"/>
    <col min="8" max="8" width="19.28515625" style="14" customWidth="1" outlineLevel="1"/>
    <col min="9" max="9" width="72.85546875" style="14" customWidth="1" outlineLevel="1"/>
    <col min="10" max="10" width="22" style="11" customWidth="1"/>
    <col min="11" max="11" width="20.5703125" style="11" customWidth="1" outlineLevel="1"/>
    <col min="12" max="12" width="22.5703125" style="11" customWidth="1" outlineLevel="1"/>
    <col min="13" max="13" width="19.28515625" style="14" customWidth="1" outlineLevel="1"/>
    <col min="14" max="14" width="26.42578125" style="14" customWidth="1" outlineLevel="1"/>
    <col min="15" max="15" width="22" style="11" customWidth="1"/>
    <col min="16" max="16" width="20.5703125" style="11" customWidth="1" outlineLevel="1"/>
    <col min="17" max="17" width="22.5703125" style="11" customWidth="1" outlineLevel="1"/>
    <col min="18" max="18" width="19.28515625" style="14" customWidth="1" outlineLevel="1"/>
    <col min="19" max="19" width="26.42578125" style="14" customWidth="1" outlineLevel="1"/>
    <col min="20" max="20" width="22" style="11" customWidth="1"/>
    <col min="21" max="21" width="20.5703125" style="11" customWidth="1" outlineLevel="1"/>
    <col min="22" max="22" width="22.5703125" style="11" customWidth="1" outlineLevel="1"/>
    <col min="23" max="23" width="19.28515625" style="14" customWidth="1" outlineLevel="1"/>
    <col min="24" max="24" width="26.42578125" style="14" customWidth="1" outlineLevel="1"/>
    <col min="25" max="16384" width="9.140625" style="11"/>
  </cols>
  <sheetData>
    <row r="1" spans="1:24" ht="63" x14ac:dyDescent="0.2">
      <c r="A1" s="101" t="s">
        <v>0</v>
      </c>
      <c r="B1" s="198" t="s">
        <v>349</v>
      </c>
      <c r="C1" s="25" t="s">
        <v>567</v>
      </c>
      <c r="D1" s="25" t="s">
        <v>568</v>
      </c>
      <c r="E1" s="25" t="s">
        <v>569</v>
      </c>
      <c r="F1" s="25" t="s">
        <v>580</v>
      </c>
      <c r="G1" s="26" t="s">
        <v>572</v>
      </c>
      <c r="H1" s="27" t="s">
        <v>573</v>
      </c>
      <c r="I1" s="25" t="s">
        <v>508</v>
      </c>
      <c r="J1" s="25" t="s">
        <v>570</v>
      </c>
      <c r="K1" s="25" t="s">
        <v>430</v>
      </c>
      <c r="L1" s="26" t="s">
        <v>404</v>
      </c>
      <c r="M1" s="27" t="s">
        <v>405</v>
      </c>
      <c r="N1" s="25" t="s">
        <v>508</v>
      </c>
      <c r="O1" s="25" t="s">
        <v>575</v>
      </c>
      <c r="P1" s="25" t="s">
        <v>431</v>
      </c>
      <c r="Q1" s="26" t="s">
        <v>572</v>
      </c>
      <c r="R1" s="27" t="s">
        <v>573</v>
      </c>
      <c r="S1" s="25" t="s">
        <v>508</v>
      </c>
      <c r="T1" s="25" t="s">
        <v>577</v>
      </c>
      <c r="U1" s="25" t="s">
        <v>578</v>
      </c>
      <c r="V1" s="26" t="s">
        <v>572</v>
      </c>
      <c r="W1" s="27" t="s">
        <v>573</v>
      </c>
      <c r="X1" s="25" t="s">
        <v>508</v>
      </c>
    </row>
    <row r="2" spans="1:24" ht="12" customHeight="1" x14ac:dyDescent="0.2">
      <c r="A2" s="34">
        <v>1</v>
      </c>
      <c r="B2" s="25">
        <v>2</v>
      </c>
      <c r="C2" s="25">
        <v>3</v>
      </c>
      <c r="D2" s="25">
        <v>4</v>
      </c>
      <c r="E2" s="25">
        <v>5</v>
      </c>
      <c r="F2" s="25">
        <v>6</v>
      </c>
      <c r="G2" s="26">
        <v>7</v>
      </c>
      <c r="H2" s="28">
        <v>8</v>
      </c>
      <c r="I2" s="25">
        <v>9</v>
      </c>
      <c r="J2" s="25">
        <v>10</v>
      </c>
      <c r="K2" s="25">
        <v>11</v>
      </c>
      <c r="L2" s="26">
        <v>12</v>
      </c>
      <c r="M2" s="28">
        <v>13</v>
      </c>
      <c r="N2" s="25">
        <v>14</v>
      </c>
      <c r="O2" s="25">
        <v>15</v>
      </c>
      <c r="P2" s="25">
        <v>16</v>
      </c>
      <c r="Q2" s="26">
        <v>17</v>
      </c>
      <c r="R2" s="28">
        <v>18</v>
      </c>
      <c r="S2" s="25">
        <v>19</v>
      </c>
      <c r="T2" s="25">
        <v>20</v>
      </c>
      <c r="U2" s="25">
        <v>21</v>
      </c>
      <c r="V2" s="26">
        <v>22</v>
      </c>
      <c r="W2" s="28">
        <v>23</v>
      </c>
      <c r="X2" s="25">
        <v>24</v>
      </c>
    </row>
    <row r="3" spans="1:24" ht="18" customHeight="1" x14ac:dyDescent="0.2">
      <c r="A3" s="308" t="s">
        <v>248</v>
      </c>
      <c r="B3" s="309" t="s">
        <v>360</v>
      </c>
      <c r="C3" s="310" t="s">
        <v>183</v>
      </c>
      <c r="D3" s="310" t="s">
        <v>183</v>
      </c>
      <c r="E3" s="311" t="s">
        <v>183</v>
      </c>
      <c r="F3" s="312" t="s">
        <v>183</v>
      </c>
      <c r="G3" s="429" t="s">
        <v>183</v>
      </c>
      <c r="H3" s="313" t="s">
        <v>183</v>
      </c>
      <c r="I3" s="313" t="s">
        <v>183</v>
      </c>
      <c r="J3" s="311" t="s">
        <v>183</v>
      </c>
      <c r="K3" s="312" t="s">
        <v>183</v>
      </c>
      <c r="L3" s="312" t="s">
        <v>183</v>
      </c>
      <c r="M3" s="313" t="s">
        <v>183</v>
      </c>
      <c r="N3" s="313" t="s">
        <v>183</v>
      </c>
      <c r="O3" s="311" t="s">
        <v>183</v>
      </c>
      <c r="P3" s="312" t="s">
        <v>183</v>
      </c>
      <c r="Q3" s="312" t="s">
        <v>183</v>
      </c>
      <c r="R3" s="313" t="s">
        <v>183</v>
      </c>
      <c r="S3" s="313" t="s">
        <v>183</v>
      </c>
      <c r="T3" s="311" t="s">
        <v>183</v>
      </c>
      <c r="U3" s="312" t="s">
        <v>183</v>
      </c>
      <c r="V3" s="312" t="s">
        <v>183</v>
      </c>
      <c r="W3" s="313" t="s">
        <v>183</v>
      </c>
      <c r="X3" s="313" t="s">
        <v>183</v>
      </c>
    </row>
    <row r="4" spans="1:24" ht="51" customHeight="1" x14ac:dyDescent="0.2">
      <c r="A4" s="217" t="s">
        <v>247</v>
      </c>
      <c r="B4" s="129" t="s">
        <v>361</v>
      </c>
      <c r="C4" s="218" t="s">
        <v>183</v>
      </c>
      <c r="D4" s="218" t="s">
        <v>183</v>
      </c>
      <c r="E4" s="219" t="s">
        <v>183</v>
      </c>
      <c r="F4" s="219" t="s">
        <v>183</v>
      </c>
      <c r="G4" s="120" t="s">
        <v>183</v>
      </c>
      <c r="H4" s="119" t="s">
        <v>183</v>
      </c>
      <c r="I4" s="119" t="s">
        <v>183</v>
      </c>
      <c r="J4" s="219" t="s">
        <v>183</v>
      </c>
      <c r="K4" s="219" t="s">
        <v>183</v>
      </c>
      <c r="L4" s="219" t="s">
        <v>183</v>
      </c>
      <c r="M4" s="119" t="s">
        <v>183</v>
      </c>
      <c r="N4" s="119" t="s">
        <v>183</v>
      </c>
      <c r="O4" s="219" t="s">
        <v>183</v>
      </c>
      <c r="P4" s="219" t="s">
        <v>183</v>
      </c>
      <c r="Q4" s="219" t="s">
        <v>183</v>
      </c>
      <c r="R4" s="119" t="s">
        <v>183</v>
      </c>
      <c r="S4" s="119" t="s">
        <v>183</v>
      </c>
      <c r="T4" s="219" t="s">
        <v>183</v>
      </c>
      <c r="U4" s="219" t="s">
        <v>183</v>
      </c>
      <c r="V4" s="219" t="s">
        <v>183</v>
      </c>
      <c r="W4" s="119" t="s">
        <v>183</v>
      </c>
      <c r="X4" s="119" t="s">
        <v>183</v>
      </c>
    </row>
    <row r="5" spans="1:24" ht="33" customHeight="1" x14ac:dyDescent="0.2">
      <c r="A5" s="220" t="s">
        <v>246</v>
      </c>
      <c r="B5" s="221" t="s">
        <v>362</v>
      </c>
      <c r="C5" s="222">
        <v>27752</v>
      </c>
      <c r="D5" s="222">
        <v>28039</v>
      </c>
      <c r="E5" s="77">
        <v>6179</v>
      </c>
      <c r="F5" s="77">
        <v>6179</v>
      </c>
      <c r="G5" s="427">
        <f t="shared" ref="G5:G40" si="0">F5-E5</f>
        <v>0</v>
      </c>
      <c r="H5" s="428">
        <f t="shared" ref="H5:H40" si="1">IFERROR(G5/ABS(E5), "-")</f>
        <v>0</v>
      </c>
      <c r="I5" s="223"/>
      <c r="J5" s="77">
        <v>13533</v>
      </c>
      <c r="K5" s="77">
        <v>13489</v>
      </c>
      <c r="L5" s="78">
        <f>K5-J5</f>
        <v>-44</v>
      </c>
      <c r="M5" s="79">
        <f>L5/J5</f>
        <v>-3.251311608660312E-3</v>
      </c>
      <c r="N5" s="223"/>
      <c r="O5" s="77">
        <v>21440</v>
      </c>
      <c r="P5" s="77">
        <v>21359</v>
      </c>
      <c r="Q5" s="78">
        <v>-81</v>
      </c>
      <c r="R5" s="94">
        <v>-3.7779850746268656E-3</v>
      </c>
      <c r="S5" s="223"/>
      <c r="T5" s="77">
        <v>28039</v>
      </c>
      <c r="U5" s="77">
        <f>U6+U7+U8</f>
        <v>27751</v>
      </c>
      <c r="V5" s="78">
        <f>U5-T5</f>
        <v>-288</v>
      </c>
      <c r="W5" s="79">
        <f>IFERROR(V5/ABS(T5), "-")</f>
        <v>-1.0271407682156996E-2</v>
      </c>
      <c r="X5" s="223"/>
    </row>
    <row r="6" spans="1:24" ht="50.1" customHeight="1" x14ac:dyDescent="0.2">
      <c r="A6" s="220" t="s">
        <v>245</v>
      </c>
      <c r="B6" s="224" t="s">
        <v>446</v>
      </c>
      <c r="C6" s="143">
        <v>24030</v>
      </c>
      <c r="D6" s="143">
        <v>24291</v>
      </c>
      <c r="E6" s="82">
        <v>5223</v>
      </c>
      <c r="F6" s="82">
        <v>5223</v>
      </c>
      <c r="G6" s="427">
        <f t="shared" si="0"/>
        <v>0</v>
      </c>
      <c r="H6" s="428">
        <f t="shared" si="1"/>
        <v>0</v>
      </c>
      <c r="I6" s="223"/>
      <c r="J6" s="82">
        <v>11735</v>
      </c>
      <c r="K6" s="82">
        <v>11710</v>
      </c>
      <c r="L6" s="78">
        <f t="shared" ref="L6:L14" si="2">K6-J6</f>
        <v>-25</v>
      </c>
      <c r="M6" s="79">
        <f t="shared" ref="M6:M14" si="3">L6/J6</f>
        <v>-2.1303792074989347E-3</v>
      </c>
      <c r="N6" s="223"/>
      <c r="O6" s="82">
        <v>18628</v>
      </c>
      <c r="P6" s="82">
        <v>18609</v>
      </c>
      <c r="Q6" s="83">
        <v>-19</v>
      </c>
      <c r="R6" s="94">
        <v>-1.0199699377281511E-3</v>
      </c>
      <c r="S6" s="223"/>
      <c r="T6" s="82">
        <v>24291</v>
      </c>
      <c r="U6" s="82">
        <v>24093</v>
      </c>
      <c r="V6" s="83">
        <f t="shared" ref="V6:V14" si="4">U6-T6</f>
        <v>-198</v>
      </c>
      <c r="W6" s="79">
        <f t="shared" ref="W6:W14" si="5">IFERROR(V6/ABS(T6), "-")</f>
        <v>-8.1511670989255283E-3</v>
      </c>
      <c r="X6" s="223"/>
    </row>
    <row r="7" spans="1:24" ht="32.1" customHeight="1" x14ac:dyDescent="0.2">
      <c r="A7" s="220" t="s">
        <v>244</v>
      </c>
      <c r="B7" s="224" t="s">
        <v>447</v>
      </c>
      <c r="C7" s="143">
        <v>3722</v>
      </c>
      <c r="D7" s="143">
        <v>3748</v>
      </c>
      <c r="E7" s="82">
        <v>956</v>
      </c>
      <c r="F7" s="82">
        <v>956</v>
      </c>
      <c r="G7" s="427">
        <f t="shared" si="0"/>
        <v>0</v>
      </c>
      <c r="H7" s="428">
        <f t="shared" si="1"/>
        <v>0</v>
      </c>
      <c r="I7" s="223"/>
      <c r="J7" s="82">
        <v>1798</v>
      </c>
      <c r="K7" s="82">
        <v>1779</v>
      </c>
      <c r="L7" s="78">
        <f t="shared" si="2"/>
        <v>-19</v>
      </c>
      <c r="M7" s="79">
        <f t="shared" si="3"/>
        <v>-1.0567296996662959E-2</v>
      </c>
      <c r="N7" s="223"/>
      <c r="O7" s="82">
        <v>2812</v>
      </c>
      <c r="P7" s="103">
        <v>2750</v>
      </c>
      <c r="Q7" s="83">
        <v>-62</v>
      </c>
      <c r="R7" s="94">
        <v>-2.2048364153627313E-2</v>
      </c>
      <c r="S7" s="223"/>
      <c r="T7" s="82">
        <v>3748</v>
      </c>
      <c r="U7" s="103">
        <v>3658</v>
      </c>
      <c r="V7" s="83">
        <f t="shared" si="4"/>
        <v>-90</v>
      </c>
      <c r="W7" s="79">
        <f t="shared" si="5"/>
        <v>-2.4012806830309499E-2</v>
      </c>
      <c r="X7" s="223"/>
    </row>
    <row r="8" spans="1:24" ht="32.1" customHeight="1" x14ac:dyDescent="0.2">
      <c r="A8" s="220" t="s">
        <v>243</v>
      </c>
      <c r="B8" s="224" t="s">
        <v>448</v>
      </c>
      <c r="C8" s="225"/>
      <c r="D8" s="225">
        <v>0</v>
      </c>
      <c r="E8" s="77">
        <v>0</v>
      </c>
      <c r="F8" s="77">
        <v>0</v>
      </c>
      <c r="G8" s="427">
        <f t="shared" si="0"/>
        <v>0</v>
      </c>
      <c r="H8" s="428" t="str">
        <f t="shared" si="1"/>
        <v>-</v>
      </c>
      <c r="I8" s="223"/>
      <c r="J8" s="77">
        <v>0</v>
      </c>
      <c r="K8" s="77">
        <v>0</v>
      </c>
      <c r="L8" s="78">
        <f t="shared" si="2"/>
        <v>0</v>
      </c>
      <c r="M8" s="79" t="e">
        <f t="shared" si="3"/>
        <v>#DIV/0!</v>
      </c>
      <c r="N8" s="223"/>
      <c r="O8" s="77">
        <v>0</v>
      </c>
      <c r="P8" s="77">
        <v>0</v>
      </c>
      <c r="Q8" s="78">
        <v>0</v>
      </c>
      <c r="R8" s="94" t="s">
        <v>579</v>
      </c>
      <c r="S8" s="223"/>
      <c r="T8" s="77">
        <v>0</v>
      </c>
      <c r="U8" s="77">
        <v>0</v>
      </c>
      <c r="V8" s="78">
        <f t="shared" si="4"/>
        <v>0</v>
      </c>
      <c r="W8" s="79" t="str">
        <f t="shared" si="5"/>
        <v>-</v>
      </c>
      <c r="X8" s="223"/>
    </row>
    <row r="9" spans="1:24" ht="31.5" customHeight="1" x14ac:dyDescent="0.2">
      <c r="A9" s="226" t="s">
        <v>242</v>
      </c>
      <c r="B9" s="227" t="s">
        <v>363</v>
      </c>
      <c r="C9" s="143"/>
      <c r="D9" s="143"/>
      <c r="E9" s="82"/>
      <c r="F9" s="82"/>
      <c r="G9" s="427">
        <f t="shared" si="0"/>
        <v>0</v>
      </c>
      <c r="H9" s="428" t="str">
        <f t="shared" si="1"/>
        <v>-</v>
      </c>
      <c r="I9" s="223"/>
      <c r="J9" s="82"/>
      <c r="K9" s="82"/>
      <c r="L9" s="78">
        <f t="shared" si="2"/>
        <v>0</v>
      </c>
      <c r="M9" s="79" t="e">
        <f t="shared" si="3"/>
        <v>#DIV/0!</v>
      </c>
      <c r="N9" s="223"/>
      <c r="O9" s="82"/>
      <c r="P9" s="82"/>
      <c r="Q9" s="83">
        <v>0</v>
      </c>
      <c r="R9" s="94" t="s">
        <v>579</v>
      </c>
      <c r="S9" s="223"/>
      <c r="T9" s="82"/>
      <c r="U9" s="82"/>
      <c r="V9" s="83">
        <f t="shared" si="4"/>
        <v>0</v>
      </c>
      <c r="W9" s="79" t="str">
        <f t="shared" si="5"/>
        <v>-</v>
      </c>
      <c r="X9" s="223"/>
    </row>
    <row r="10" spans="1:24" ht="30.95" customHeight="1" x14ac:dyDescent="0.2">
      <c r="A10" s="226" t="s">
        <v>241</v>
      </c>
      <c r="B10" s="227" t="s">
        <v>364</v>
      </c>
      <c r="C10" s="143"/>
      <c r="D10" s="143"/>
      <c r="E10" s="82"/>
      <c r="F10" s="82"/>
      <c r="G10" s="427">
        <f t="shared" si="0"/>
        <v>0</v>
      </c>
      <c r="H10" s="428" t="str">
        <f t="shared" si="1"/>
        <v>-</v>
      </c>
      <c r="I10" s="223"/>
      <c r="J10" s="82"/>
      <c r="K10" s="82"/>
      <c r="L10" s="78">
        <f t="shared" si="2"/>
        <v>0</v>
      </c>
      <c r="M10" s="79" t="e">
        <f t="shared" si="3"/>
        <v>#DIV/0!</v>
      </c>
      <c r="N10" s="223"/>
      <c r="O10" s="82"/>
      <c r="P10" s="82"/>
      <c r="Q10" s="83">
        <v>0</v>
      </c>
      <c r="R10" s="94" t="s">
        <v>579</v>
      </c>
      <c r="S10" s="223"/>
      <c r="T10" s="82"/>
      <c r="U10" s="82"/>
      <c r="V10" s="83">
        <f t="shared" si="4"/>
        <v>0</v>
      </c>
      <c r="W10" s="79" t="str">
        <f t="shared" si="5"/>
        <v>-</v>
      </c>
      <c r="X10" s="223"/>
    </row>
    <row r="11" spans="1:24" ht="35.450000000000003" customHeight="1" x14ac:dyDescent="0.2">
      <c r="A11" s="220" t="s">
        <v>365</v>
      </c>
      <c r="B11" s="228" t="s">
        <v>366</v>
      </c>
      <c r="C11" s="229">
        <v>3722</v>
      </c>
      <c r="D11" s="229">
        <v>3748</v>
      </c>
      <c r="E11" s="229">
        <v>956</v>
      </c>
      <c r="F11" s="229">
        <v>956</v>
      </c>
      <c r="G11" s="427">
        <f t="shared" si="0"/>
        <v>0</v>
      </c>
      <c r="H11" s="428">
        <f t="shared" si="1"/>
        <v>0</v>
      </c>
      <c r="I11" s="223"/>
      <c r="J11" s="229">
        <v>1798</v>
      </c>
      <c r="K11" s="229">
        <v>1779</v>
      </c>
      <c r="L11" s="78">
        <f t="shared" si="2"/>
        <v>-19</v>
      </c>
      <c r="M11" s="79">
        <f t="shared" si="3"/>
        <v>-1.0567296996662959E-2</v>
      </c>
      <c r="N11" s="223"/>
      <c r="O11" s="229">
        <v>2812</v>
      </c>
      <c r="P11" s="229">
        <v>2750</v>
      </c>
      <c r="Q11" s="230">
        <v>-62</v>
      </c>
      <c r="R11" s="94">
        <v>-2.2048364153627313E-2</v>
      </c>
      <c r="S11" s="223"/>
      <c r="T11" s="229">
        <v>3748</v>
      </c>
      <c r="U11" s="229">
        <f t="shared" ref="U11" si="6">U7+U10</f>
        <v>3658</v>
      </c>
      <c r="V11" s="230">
        <f t="shared" si="4"/>
        <v>-90</v>
      </c>
      <c r="W11" s="79">
        <f t="shared" si="5"/>
        <v>-2.4012806830309499E-2</v>
      </c>
      <c r="X11" s="223"/>
    </row>
    <row r="12" spans="1:24" ht="32.1" customHeight="1" x14ac:dyDescent="0.2">
      <c r="A12" s="220" t="s">
        <v>367</v>
      </c>
      <c r="B12" s="228" t="s">
        <v>397</v>
      </c>
      <c r="C12" s="231">
        <v>13</v>
      </c>
      <c r="D12" s="231">
        <v>13.37</v>
      </c>
      <c r="E12" s="231">
        <v>15.47</v>
      </c>
      <c r="F12" s="231">
        <v>15.47</v>
      </c>
      <c r="G12" s="427">
        <f t="shared" si="0"/>
        <v>0</v>
      </c>
      <c r="H12" s="428">
        <f t="shared" si="1"/>
        <v>0</v>
      </c>
      <c r="I12" s="223"/>
      <c r="J12" s="231">
        <v>13.29</v>
      </c>
      <c r="K12" s="231">
        <v>13.19</v>
      </c>
      <c r="L12" s="78">
        <f t="shared" si="2"/>
        <v>-9.9999999999999645E-2</v>
      </c>
      <c r="M12" s="79">
        <f t="shared" si="3"/>
        <v>-7.5244544770503878E-3</v>
      </c>
      <c r="N12" s="223"/>
      <c r="O12" s="231">
        <v>13.12</v>
      </c>
      <c r="P12" s="231">
        <v>12.88</v>
      </c>
      <c r="Q12" s="232">
        <v>-0.23999999999999844</v>
      </c>
      <c r="R12" s="94">
        <v>-1.8292682926829149E-2</v>
      </c>
      <c r="S12" s="223"/>
      <c r="T12" s="231">
        <v>13.37</v>
      </c>
      <c r="U12" s="231">
        <v>13.18</v>
      </c>
      <c r="V12" s="232">
        <f t="shared" si="4"/>
        <v>-0.1899999999999995</v>
      </c>
      <c r="W12" s="79">
        <f t="shared" si="5"/>
        <v>-1.4210919970082237E-2</v>
      </c>
      <c r="X12" s="223"/>
    </row>
    <row r="13" spans="1:24" ht="18" customHeight="1" x14ac:dyDescent="0.2">
      <c r="A13" s="220" t="s">
        <v>368</v>
      </c>
      <c r="B13" s="228" t="s">
        <v>449</v>
      </c>
      <c r="C13" s="233"/>
      <c r="D13" s="233"/>
      <c r="E13" s="233"/>
      <c r="F13" s="233"/>
      <c r="G13" s="427">
        <f t="shared" si="0"/>
        <v>0</v>
      </c>
      <c r="H13" s="428" t="str">
        <f t="shared" si="1"/>
        <v>-</v>
      </c>
      <c r="I13" s="223"/>
      <c r="J13" s="233"/>
      <c r="K13" s="233"/>
      <c r="L13" s="78">
        <f t="shared" si="2"/>
        <v>0</v>
      </c>
      <c r="M13" s="79" t="e">
        <f t="shared" si="3"/>
        <v>#DIV/0!</v>
      </c>
      <c r="N13" s="223"/>
      <c r="O13" s="233"/>
      <c r="P13" s="233"/>
      <c r="Q13" s="234">
        <v>0</v>
      </c>
      <c r="R13" s="94" t="s">
        <v>579</v>
      </c>
      <c r="S13" s="223"/>
      <c r="T13" s="233"/>
      <c r="U13" s="233"/>
      <c r="V13" s="234">
        <f t="shared" si="4"/>
        <v>0</v>
      </c>
      <c r="W13" s="79" t="str">
        <f t="shared" si="5"/>
        <v>-</v>
      </c>
      <c r="X13" s="223"/>
    </row>
    <row r="14" spans="1:24" ht="34.5" customHeight="1" x14ac:dyDescent="0.2">
      <c r="A14" s="220" t="s">
        <v>369</v>
      </c>
      <c r="B14" s="228" t="s">
        <v>370</v>
      </c>
      <c r="C14" s="231">
        <f>IFERROR(C8/C5, "-")</f>
        <v>0</v>
      </c>
      <c r="D14" s="231">
        <v>0</v>
      </c>
      <c r="E14" s="231" t="s">
        <v>579</v>
      </c>
      <c r="F14" s="231" t="s">
        <v>579</v>
      </c>
      <c r="G14" s="427" t="e">
        <f t="shared" si="0"/>
        <v>#VALUE!</v>
      </c>
      <c r="H14" s="428" t="str">
        <f t="shared" si="1"/>
        <v>-</v>
      </c>
      <c r="I14" s="223"/>
      <c r="J14" s="231">
        <v>0</v>
      </c>
      <c r="K14" s="231" t="s">
        <v>579</v>
      </c>
      <c r="L14" s="78" t="e">
        <f t="shared" si="2"/>
        <v>#VALUE!</v>
      </c>
      <c r="M14" s="79" t="e">
        <f t="shared" si="3"/>
        <v>#VALUE!</v>
      </c>
      <c r="N14" s="223"/>
      <c r="O14" s="231">
        <v>0</v>
      </c>
      <c r="P14" s="231">
        <v>0</v>
      </c>
      <c r="Q14" s="232">
        <v>0</v>
      </c>
      <c r="R14" s="94" t="s">
        <v>579</v>
      </c>
      <c r="S14" s="223"/>
      <c r="T14" s="231">
        <v>0</v>
      </c>
      <c r="U14" s="231">
        <f t="shared" ref="U14" si="7">IFERROR(U8/U5, "-")</f>
        <v>0</v>
      </c>
      <c r="V14" s="232">
        <f t="shared" si="4"/>
        <v>0</v>
      </c>
      <c r="W14" s="79" t="str">
        <f t="shared" si="5"/>
        <v>-</v>
      </c>
      <c r="X14" s="223"/>
    </row>
    <row r="15" spans="1:24" ht="18" customHeight="1" x14ac:dyDescent="0.2">
      <c r="A15" s="308" t="s">
        <v>240</v>
      </c>
      <c r="B15" s="314" t="s">
        <v>371</v>
      </c>
      <c r="C15" s="315" t="s">
        <v>183</v>
      </c>
      <c r="D15" s="315" t="s">
        <v>183</v>
      </c>
      <c r="E15" s="311" t="s">
        <v>183</v>
      </c>
      <c r="F15" s="312" t="s">
        <v>183</v>
      </c>
      <c r="G15" s="429" t="s">
        <v>183</v>
      </c>
      <c r="H15" s="430" t="s">
        <v>183</v>
      </c>
      <c r="I15" s="313" t="s">
        <v>183</v>
      </c>
      <c r="J15" s="311" t="s">
        <v>183</v>
      </c>
      <c r="K15" s="312" t="s">
        <v>183</v>
      </c>
      <c r="L15" s="312" t="s">
        <v>183</v>
      </c>
      <c r="M15" s="313" t="s">
        <v>183</v>
      </c>
      <c r="N15" s="313" t="s">
        <v>183</v>
      </c>
      <c r="O15" s="311" t="s">
        <v>183</v>
      </c>
      <c r="P15" s="312" t="s">
        <v>183</v>
      </c>
      <c r="Q15" s="312" t="s">
        <v>183</v>
      </c>
      <c r="R15" s="312" t="s">
        <v>183</v>
      </c>
      <c r="S15" s="313" t="s">
        <v>183</v>
      </c>
      <c r="T15" s="311" t="s">
        <v>183</v>
      </c>
      <c r="U15" s="312" t="s">
        <v>183</v>
      </c>
      <c r="V15" s="312" t="s">
        <v>183</v>
      </c>
      <c r="W15" s="313" t="s">
        <v>183</v>
      </c>
      <c r="X15" s="313" t="s">
        <v>183</v>
      </c>
    </row>
    <row r="16" spans="1:24" ht="18" customHeight="1" x14ac:dyDescent="0.2">
      <c r="A16" s="237" t="s">
        <v>239</v>
      </c>
      <c r="B16" s="238" t="s">
        <v>238</v>
      </c>
      <c r="C16" s="239">
        <v>220</v>
      </c>
      <c r="D16" s="239">
        <v>220</v>
      </c>
      <c r="E16" s="240">
        <v>220</v>
      </c>
      <c r="F16" s="240">
        <v>220</v>
      </c>
      <c r="G16" s="427">
        <f t="shared" si="0"/>
        <v>0</v>
      </c>
      <c r="H16" s="428">
        <f t="shared" si="1"/>
        <v>0</v>
      </c>
      <c r="I16" s="223"/>
      <c r="J16" s="240">
        <v>220</v>
      </c>
      <c r="K16" s="240">
        <v>220</v>
      </c>
      <c r="L16" s="241">
        <f>K16-J16</f>
        <v>0</v>
      </c>
      <c r="M16" s="79">
        <f>L16/J16</f>
        <v>0</v>
      </c>
      <c r="N16" s="223"/>
      <c r="O16" s="240">
        <v>220</v>
      </c>
      <c r="P16" s="240">
        <v>220</v>
      </c>
      <c r="Q16" s="241">
        <v>0</v>
      </c>
      <c r="R16" s="94">
        <v>0</v>
      </c>
      <c r="S16" s="223"/>
      <c r="T16" s="240">
        <v>220</v>
      </c>
      <c r="U16" s="240">
        <v>220</v>
      </c>
      <c r="V16" s="241">
        <f t="shared" ref="V16:V30" si="8">U16-T16</f>
        <v>0</v>
      </c>
      <c r="W16" s="79">
        <f t="shared" ref="W16:W30" si="9">IFERROR(V16/ABS(T16), "-")</f>
        <v>0</v>
      </c>
      <c r="X16" s="223"/>
    </row>
    <row r="17" spans="1:24" ht="18" customHeight="1" x14ac:dyDescent="0.2">
      <c r="A17" s="237" t="s">
        <v>291</v>
      </c>
      <c r="B17" s="17" t="s">
        <v>372</v>
      </c>
      <c r="C17" s="242">
        <v>40713</v>
      </c>
      <c r="D17" s="242">
        <v>46620</v>
      </c>
      <c r="E17" s="240">
        <v>12086</v>
      </c>
      <c r="F17" s="240">
        <v>12086</v>
      </c>
      <c r="G17" s="427">
        <f>F17-E17</f>
        <v>0</v>
      </c>
      <c r="H17" s="428">
        <f t="shared" si="1"/>
        <v>0</v>
      </c>
      <c r="I17" s="223"/>
      <c r="J17" s="240">
        <v>23728</v>
      </c>
      <c r="K17" s="240">
        <v>22346</v>
      </c>
      <c r="L17" s="241">
        <f t="shared" ref="L17:L30" si="10">K17-J17</f>
        <v>-1382</v>
      </c>
      <c r="M17" s="79">
        <f t="shared" ref="M17:M30" si="11">L17/J17</f>
        <v>-5.8243425488873901E-2</v>
      </c>
      <c r="N17" s="223"/>
      <c r="O17" s="240">
        <v>34342</v>
      </c>
      <c r="P17" s="240">
        <v>33742</v>
      </c>
      <c r="Q17" s="83">
        <v>-600</v>
      </c>
      <c r="R17" s="94">
        <v>-1.7471317919748413E-2</v>
      </c>
      <c r="S17" s="223"/>
      <c r="T17" s="240">
        <v>46620</v>
      </c>
      <c r="U17" s="240">
        <v>46100</v>
      </c>
      <c r="V17" s="83">
        <f t="shared" si="8"/>
        <v>-520</v>
      </c>
      <c r="W17" s="79">
        <f t="shared" si="9"/>
        <v>-1.1154011154011155E-2</v>
      </c>
      <c r="X17" s="223"/>
    </row>
    <row r="18" spans="1:24" ht="32.450000000000003" customHeight="1" x14ac:dyDescent="0.2">
      <c r="A18" s="243" t="s">
        <v>249</v>
      </c>
      <c r="B18" s="16" t="s">
        <v>373</v>
      </c>
      <c r="C18" s="207">
        <v>564</v>
      </c>
      <c r="D18" s="207">
        <f>24735247/D17</f>
        <v>530.5715787215787</v>
      </c>
      <c r="E18" s="19">
        <f>5571252/E17</f>
        <v>460.96740029786531</v>
      </c>
      <c r="F18" s="19">
        <v>460.96740029786531</v>
      </c>
      <c r="G18" s="427">
        <f>F18-E18</f>
        <v>0</v>
      </c>
      <c r="H18" s="428">
        <f t="shared" si="1"/>
        <v>0</v>
      </c>
      <c r="I18" s="244"/>
      <c r="J18" s="19">
        <f>11273565/J17</f>
        <v>475.11652899527985</v>
      </c>
      <c r="K18" s="19">
        <v>475.11652899528002</v>
      </c>
      <c r="L18" s="241">
        <f t="shared" si="10"/>
        <v>0</v>
      </c>
      <c r="M18" s="79">
        <f t="shared" si="11"/>
        <v>0</v>
      </c>
      <c r="N18" s="244"/>
      <c r="O18" s="19">
        <f>17893089/O17</f>
        <v>521.02641080892204</v>
      </c>
      <c r="P18" s="19">
        <f>17446641/P17</f>
        <v>517.06007349890342</v>
      </c>
      <c r="Q18" s="89">
        <f t="shared" ref="Q18:Q19" si="12">P18-O18</f>
        <v>-3.9663373100186163</v>
      </c>
      <c r="R18" s="94">
        <f>IFERROR(Q18/ABS(O18), "-")</f>
        <v>-7.6125455979489803E-3</v>
      </c>
      <c r="S18" s="244"/>
      <c r="T18" s="207">
        <f>24735247/T17</f>
        <v>530.5715787215787</v>
      </c>
      <c r="U18" s="19">
        <f>25067174/U17</f>
        <v>543.75648590021694</v>
      </c>
      <c r="V18" s="89">
        <f t="shared" si="8"/>
        <v>13.184907178638241</v>
      </c>
      <c r="W18" s="94">
        <f t="shared" si="9"/>
        <v>2.4850383449500819E-2</v>
      </c>
      <c r="X18" s="244"/>
    </row>
    <row r="19" spans="1:24" ht="18" customHeight="1" x14ac:dyDescent="0.2">
      <c r="A19" s="243" t="s">
        <v>250</v>
      </c>
      <c r="B19" s="16" t="s">
        <v>374</v>
      </c>
      <c r="C19" s="207">
        <v>557</v>
      </c>
      <c r="D19" s="207">
        <f>25187440/D17</f>
        <v>540.2711282711283</v>
      </c>
      <c r="E19" s="19">
        <f>6299026/E17</f>
        <v>521.18368360086049</v>
      </c>
      <c r="F19" s="19">
        <v>521.18368360086049</v>
      </c>
      <c r="G19" s="427">
        <f t="shared" si="0"/>
        <v>0</v>
      </c>
      <c r="H19" s="428">
        <f t="shared" si="1"/>
        <v>0</v>
      </c>
      <c r="I19" s="244"/>
      <c r="J19" s="19">
        <f>12594829/J17</f>
        <v>530.80027815239384</v>
      </c>
      <c r="K19" s="19">
        <v>530.80027815239384</v>
      </c>
      <c r="L19" s="241">
        <f t="shared" si="10"/>
        <v>0</v>
      </c>
      <c r="M19" s="79">
        <f t="shared" si="11"/>
        <v>0</v>
      </c>
      <c r="N19" s="244"/>
      <c r="O19" s="19">
        <f>18222206/O17</f>
        <v>530.60992370857844</v>
      </c>
      <c r="P19" s="19">
        <f>18739292/P17</f>
        <v>555.36992472289728</v>
      </c>
      <c r="Q19" s="89">
        <f t="shared" si="12"/>
        <v>24.760001014318846</v>
      </c>
      <c r="R19" s="94">
        <f t="shared" ref="R19" si="13">IFERROR(Q19/ABS(O19), "-")</f>
        <v>4.6663282965505808E-2</v>
      </c>
      <c r="S19" s="244"/>
      <c r="T19" s="19">
        <f>25187440/T17</f>
        <v>540.2711282711283</v>
      </c>
      <c r="U19" s="19">
        <f>26905330/U17</f>
        <v>583.62971800433843</v>
      </c>
      <c r="V19" s="89">
        <f t="shared" si="8"/>
        <v>43.358589733210124</v>
      </c>
      <c r="W19" s="94">
        <f t="shared" si="9"/>
        <v>8.0253390315262518E-2</v>
      </c>
      <c r="X19" s="244"/>
    </row>
    <row r="20" spans="1:24" ht="18" customHeight="1" x14ac:dyDescent="0.2">
      <c r="A20" s="237" t="s">
        <v>237</v>
      </c>
      <c r="B20" s="245" t="s">
        <v>450</v>
      </c>
      <c r="C20" s="239">
        <v>6980</v>
      </c>
      <c r="D20" s="239">
        <v>7725</v>
      </c>
      <c r="E20" s="240">
        <v>2086</v>
      </c>
      <c r="F20" s="240">
        <v>2086</v>
      </c>
      <c r="G20" s="427">
        <f t="shared" si="0"/>
        <v>0</v>
      </c>
      <c r="H20" s="428">
        <f t="shared" si="1"/>
        <v>0</v>
      </c>
      <c r="I20" s="223"/>
      <c r="J20" s="240">
        <v>3906</v>
      </c>
      <c r="K20" s="240">
        <v>3781</v>
      </c>
      <c r="L20" s="241">
        <f t="shared" si="10"/>
        <v>-125</v>
      </c>
      <c r="M20" s="79">
        <f t="shared" si="11"/>
        <v>-3.2002048131080388E-2</v>
      </c>
      <c r="N20" s="223"/>
      <c r="O20" s="240">
        <v>5789</v>
      </c>
      <c r="P20" s="240">
        <v>5586</v>
      </c>
      <c r="Q20" s="83">
        <v>-203</v>
      </c>
      <c r="R20" s="79">
        <v>-3.5066505441354291E-2</v>
      </c>
      <c r="S20" s="223"/>
      <c r="T20" s="240">
        <v>7725</v>
      </c>
      <c r="U20" s="240">
        <v>7495</v>
      </c>
      <c r="V20" s="83">
        <f t="shared" si="8"/>
        <v>-230</v>
      </c>
      <c r="W20" s="79">
        <f t="shared" si="9"/>
        <v>-2.9773462783171521E-2</v>
      </c>
      <c r="X20" s="223"/>
    </row>
    <row r="21" spans="1:24" ht="18" customHeight="1" x14ac:dyDescent="0.2">
      <c r="A21" s="477" t="s">
        <v>289</v>
      </c>
      <c r="B21" s="478" t="s">
        <v>451</v>
      </c>
      <c r="C21" s="479">
        <v>6658</v>
      </c>
      <c r="D21" s="479">
        <v>7405</v>
      </c>
      <c r="E21" s="19">
        <v>2009</v>
      </c>
      <c r="F21" s="19">
        <v>2009</v>
      </c>
      <c r="G21" s="427">
        <f t="shared" si="0"/>
        <v>0</v>
      </c>
      <c r="H21" s="428">
        <f t="shared" si="1"/>
        <v>0</v>
      </c>
      <c r="I21" s="244"/>
      <c r="J21" s="19">
        <v>3686</v>
      </c>
      <c r="K21" s="19">
        <v>3643</v>
      </c>
      <c r="L21" s="241">
        <f t="shared" si="10"/>
        <v>-43</v>
      </c>
      <c r="M21" s="79">
        <f t="shared" si="11"/>
        <v>-1.166576234400434E-2</v>
      </c>
      <c r="N21" s="244"/>
      <c r="O21" s="19">
        <v>5505</v>
      </c>
      <c r="P21" s="19">
        <v>5387</v>
      </c>
      <c r="Q21" s="104">
        <v>-118</v>
      </c>
      <c r="R21" s="94">
        <v>-2.1435059037238875E-2</v>
      </c>
      <c r="S21" s="244"/>
      <c r="T21" s="19">
        <v>7405</v>
      </c>
      <c r="U21" s="19">
        <v>7242</v>
      </c>
      <c r="V21" s="104">
        <f t="shared" si="8"/>
        <v>-163</v>
      </c>
      <c r="W21" s="94">
        <f t="shared" si="9"/>
        <v>-2.201215395003376E-2</v>
      </c>
      <c r="X21" s="244"/>
    </row>
    <row r="22" spans="1:24" ht="18" customHeight="1" x14ac:dyDescent="0.2">
      <c r="A22" s="243" t="s">
        <v>236</v>
      </c>
      <c r="B22" s="480" t="s">
        <v>452</v>
      </c>
      <c r="C22" s="479">
        <v>3258</v>
      </c>
      <c r="D22" s="479">
        <v>3977</v>
      </c>
      <c r="E22" s="19">
        <v>1130</v>
      </c>
      <c r="F22" s="19">
        <v>1130</v>
      </c>
      <c r="G22" s="427">
        <f t="shared" si="0"/>
        <v>0</v>
      </c>
      <c r="H22" s="428">
        <f t="shared" si="1"/>
        <v>0</v>
      </c>
      <c r="I22" s="244"/>
      <c r="J22" s="19">
        <v>2108</v>
      </c>
      <c r="K22" s="19">
        <v>2002</v>
      </c>
      <c r="L22" s="241">
        <f t="shared" si="10"/>
        <v>-106</v>
      </c>
      <c r="M22" s="79">
        <f t="shared" si="11"/>
        <v>-5.0284629981024669E-2</v>
      </c>
      <c r="N22" s="244"/>
      <c r="O22" s="19">
        <v>2977</v>
      </c>
      <c r="P22" s="19">
        <v>2836</v>
      </c>
      <c r="Q22" s="104">
        <v>-141</v>
      </c>
      <c r="R22" s="94">
        <v>-4.7363117232112867E-2</v>
      </c>
      <c r="S22" s="244"/>
      <c r="T22" s="19">
        <v>3977</v>
      </c>
      <c r="U22" s="19">
        <v>3837</v>
      </c>
      <c r="V22" s="104">
        <f t="shared" si="8"/>
        <v>-140</v>
      </c>
      <c r="W22" s="94">
        <f t="shared" si="9"/>
        <v>-3.5202413879808901E-2</v>
      </c>
      <c r="X22" s="244"/>
    </row>
    <row r="23" spans="1:24" ht="18" customHeight="1" x14ac:dyDescent="0.2">
      <c r="A23" s="477" t="s">
        <v>290</v>
      </c>
      <c r="B23" s="478" t="s">
        <v>453</v>
      </c>
      <c r="C23" s="479">
        <v>2964</v>
      </c>
      <c r="D23" s="479">
        <v>3686</v>
      </c>
      <c r="E23" s="19">
        <v>1057</v>
      </c>
      <c r="F23" s="19">
        <v>1057</v>
      </c>
      <c r="G23" s="427">
        <f t="shared" si="0"/>
        <v>0</v>
      </c>
      <c r="H23" s="428">
        <f t="shared" si="1"/>
        <v>0</v>
      </c>
      <c r="I23" s="244"/>
      <c r="J23" s="19">
        <v>1900</v>
      </c>
      <c r="K23" s="19">
        <v>1877</v>
      </c>
      <c r="L23" s="241">
        <f t="shared" si="10"/>
        <v>-23</v>
      </c>
      <c r="M23" s="79">
        <f t="shared" si="11"/>
        <v>-1.2105263157894737E-2</v>
      </c>
      <c r="N23" s="244"/>
      <c r="O23" s="19">
        <v>2713</v>
      </c>
      <c r="P23" s="19">
        <v>2657</v>
      </c>
      <c r="Q23" s="104">
        <v>-56</v>
      </c>
      <c r="R23" s="94">
        <v>-2.0641356431994103E-2</v>
      </c>
      <c r="S23" s="244"/>
      <c r="T23" s="19">
        <v>3686</v>
      </c>
      <c r="U23" s="19">
        <v>3605</v>
      </c>
      <c r="V23" s="104">
        <f t="shared" si="8"/>
        <v>-81</v>
      </c>
      <c r="W23" s="94">
        <f t="shared" si="9"/>
        <v>-2.1975040694519804E-2</v>
      </c>
      <c r="X23" s="244"/>
    </row>
    <row r="24" spans="1:24" ht="18" customHeight="1" x14ac:dyDescent="0.2">
      <c r="A24" s="246" t="s">
        <v>375</v>
      </c>
      <c r="B24" s="245" t="s">
        <v>454</v>
      </c>
      <c r="C24" s="239">
        <v>3722</v>
      </c>
      <c r="D24" s="239">
        <v>3748</v>
      </c>
      <c r="E24" s="240">
        <v>956</v>
      </c>
      <c r="F24" s="240">
        <v>956</v>
      </c>
      <c r="G24" s="427">
        <f t="shared" si="0"/>
        <v>0</v>
      </c>
      <c r="H24" s="428">
        <f t="shared" si="1"/>
        <v>0</v>
      </c>
      <c r="I24" s="223"/>
      <c r="J24" s="240">
        <v>1798</v>
      </c>
      <c r="K24" s="240">
        <v>1779</v>
      </c>
      <c r="L24" s="241">
        <f t="shared" si="10"/>
        <v>-19</v>
      </c>
      <c r="M24" s="79">
        <f t="shared" si="11"/>
        <v>-1.0567296996662959E-2</v>
      </c>
      <c r="N24" s="223"/>
      <c r="O24" s="240">
        <v>2812</v>
      </c>
      <c r="P24" s="240">
        <v>2750</v>
      </c>
      <c r="Q24" s="83">
        <v>-62</v>
      </c>
      <c r="R24" s="79">
        <v>-2.2048364153627313E-2</v>
      </c>
      <c r="S24" s="223"/>
      <c r="T24" s="240">
        <v>3748</v>
      </c>
      <c r="U24" s="240">
        <v>3658</v>
      </c>
      <c r="V24" s="83">
        <f t="shared" si="8"/>
        <v>-90</v>
      </c>
      <c r="W24" s="79">
        <f t="shared" si="9"/>
        <v>-2.4012806830309499E-2</v>
      </c>
      <c r="X24" s="223"/>
    </row>
    <row r="25" spans="1:24" ht="18" customHeight="1" x14ac:dyDescent="0.2">
      <c r="A25" s="246" t="s">
        <v>376</v>
      </c>
      <c r="B25" s="247" t="s">
        <v>455</v>
      </c>
      <c r="C25" s="239">
        <v>3694</v>
      </c>
      <c r="D25" s="239">
        <v>3719</v>
      </c>
      <c r="E25" s="240">
        <v>952</v>
      </c>
      <c r="F25" s="240">
        <v>952</v>
      </c>
      <c r="G25" s="427">
        <f t="shared" si="0"/>
        <v>0</v>
      </c>
      <c r="H25" s="428">
        <f t="shared" si="1"/>
        <v>0</v>
      </c>
      <c r="I25" s="223"/>
      <c r="J25" s="240">
        <v>1786</v>
      </c>
      <c r="K25" s="240">
        <v>1766</v>
      </c>
      <c r="L25" s="241">
        <f t="shared" si="10"/>
        <v>-20</v>
      </c>
      <c r="M25" s="79">
        <f t="shared" si="11"/>
        <v>-1.1198208286674132E-2</v>
      </c>
      <c r="N25" s="223"/>
      <c r="O25" s="240">
        <v>2792</v>
      </c>
      <c r="P25" s="240">
        <v>2730</v>
      </c>
      <c r="Q25" s="83">
        <v>-62</v>
      </c>
      <c r="R25" s="79">
        <v>-2.2206303724928367E-2</v>
      </c>
      <c r="S25" s="223"/>
      <c r="T25" s="240">
        <v>3719</v>
      </c>
      <c r="U25" s="240">
        <v>3637</v>
      </c>
      <c r="V25" s="83">
        <f t="shared" si="8"/>
        <v>-82</v>
      </c>
      <c r="W25" s="79">
        <f t="shared" si="9"/>
        <v>-2.2048937886528636E-2</v>
      </c>
      <c r="X25" s="223"/>
    </row>
    <row r="26" spans="1:24" ht="54" customHeight="1" x14ac:dyDescent="0.2">
      <c r="A26" s="237" t="s">
        <v>235</v>
      </c>
      <c r="B26" s="228" t="s">
        <v>456</v>
      </c>
      <c r="C26" s="248"/>
      <c r="D26" s="248"/>
      <c r="E26" s="240"/>
      <c r="F26" s="240"/>
      <c r="G26" s="427">
        <f t="shared" si="0"/>
        <v>0</v>
      </c>
      <c r="H26" s="428" t="str">
        <f t="shared" si="1"/>
        <v>-</v>
      </c>
      <c r="I26" s="223"/>
      <c r="J26" s="240"/>
      <c r="K26" s="240"/>
      <c r="L26" s="241">
        <f>K26-J26</f>
        <v>0</v>
      </c>
      <c r="M26" s="79" t="e">
        <f t="shared" si="11"/>
        <v>#DIV/0!</v>
      </c>
      <c r="N26" s="223"/>
      <c r="O26" s="240"/>
      <c r="P26" s="240"/>
      <c r="Q26" s="83">
        <v>0</v>
      </c>
      <c r="R26" s="79" t="s">
        <v>579</v>
      </c>
      <c r="S26" s="223"/>
      <c r="T26" s="240"/>
      <c r="U26" s="240"/>
      <c r="V26" s="83">
        <f t="shared" si="8"/>
        <v>0</v>
      </c>
      <c r="W26" s="79" t="str">
        <f t="shared" si="9"/>
        <v>-</v>
      </c>
      <c r="X26" s="223"/>
    </row>
    <row r="27" spans="1:24" ht="78.75" x14ac:dyDescent="0.2">
      <c r="A27" s="237" t="s">
        <v>234</v>
      </c>
      <c r="B27" s="228" t="s">
        <v>457</v>
      </c>
      <c r="C27" s="248">
        <v>21</v>
      </c>
      <c r="D27" s="248">
        <v>29</v>
      </c>
      <c r="E27" s="240">
        <v>4</v>
      </c>
      <c r="F27" s="240">
        <v>4</v>
      </c>
      <c r="G27" s="427">
        <f t="shared" si="0"/>
        <v>0</v>
      </c>
      <c r="H27" s="428">
        <f t="shared" si="1"/>
        <v>0</v>
      </c>
      <c r="I27" s="439"/>
      <c r="J27" s="240">
        <v>11</v>
      </c>
      <c r="K27" s="240">
        <v>9</v>
      </c>
      <c r="L27" s="241">
        <f t="shared" si="10"/>
        <v>-2</v>
      </c>
      <c r="M27" s="79">
        <f t="shared" si="11"/>
        <v>-0.18181818181818182</v>
      </c>
      <c r="N27" s="525" t="s">
        <v>698</v>
      </c>
      <c r="O27" s="240">
        <v>22</v>
      </c>
      <c r="P27" s="240">
        <v>16</v>
      </c>
      <c r="Q27" s="83">
        <v>-6</v>
      </c>
      <c r="R27" s="79">
        <v>-0.27272727272727271</v>
      </c>
      <c r="S27" s="525" t="s">
        <v>698</v>
      </c>
      <c r="T27" s="240">
        <v>29</v>
      </c>
      <c r="U27" s="240">
        <v>32</v>
      </c>
      <c r="V27" s="83">
        <f t="shared" si="8"/>
        <v>3</v>
      </c>
      <c r="W27" s="79">
        <f t="shared" si="9"/>
        <v>0.10344827586206896</v>
      </c>
      <c r="X27" s="223"/>
    </row>
    <row r="28" spans="1:24" ht="78.75" x14ac:dyDescent="0.2">
      <c r="A28" s="237" t="s">
        <v>233</v>
      </c>
      <c r="B28" s="228" t="s">
        <v>278</v>
      </c>
      <c r="C28" s="248">
        <v>13676</v>
      </c>
      <c r="D28" s="248">
        <v>14100</v>
      </c>
      <c r="E28" s="240">
        <v>4369</v>
      </c>
      <c r="F28" s="240">
        <v>4369</v>
      </c>
      <c r="G28" s="427">
        <f t="shared" si="0"/>
        <v>0</v>
      </c>
      <c r="H28" s="428">
        <f t="shared" si="1"/>
        <v>0</v>
      </c>
      <c r="I28" s="223"/>
      <c r="J28" s="240">
        <v>7529</v>
      </c>
      <c r="K28" s="240">
        <v>8141</v>
      </c>
      <c r="L28" s="241">
        <f t="shared" si="10"/>
        <v>612</v>
      </c>
      <c r="M28" s="79">
        <f t="shared" si="11"/>
        <v>8.1285695311462347E-2</v>
      </c>
      <c r="N28" s="223"/>
      <c r="O28" s="240">
        <v>10605</v>
      </c>
      <c r="P28" s="240">
        <v>12202</v>
      </c>
      <c r="Q28" s="83">
        <v>1597</v>
      </c>
      <c r="R28" s="79">
        <v>0.15058934464875059</v>
      </c>
      <c r="S28" s="525" t="s">
        <v>716</v>
      </c>
      <c r="T28" s="240">
        <v>14100</v>
      </c>
      <c r="U28" s="240">
        <v>17035</v>
      </c>
      <c r="V28" s="83">
        <f t="shared" si="8"/>
        <v>2935</v>
      </c>
      <c r="W28" s="79">
        <f t="shared" si="9"/>
        <v>0.20815602836879432</v>
      </c>
      <c r="X28" s="525" t="s">
        <v>716</v>
      </c>
    </row>
    <row r="29" spans="1:24" ht="18" customHeight="1" x14ac:dyDescent="0.2">
      <c r="A29" s="243" t="s">
        <v>232</v>
      </c>
      <c r="B29" s="16" t="s">
        <v>279</v>
      </c>
      <c r="C29" s="207">
        <v>5.83</v>
      </c>
      <c r="D29" s="207">
        <v>5.77</v>
      </c>
      <c r="E29" s="19">
        <v>5.99</v>
      </c>
      <c r="F29" s="19">
        <v>5.99</v>
      </c>
      <c r="G29" s="427">
        <f t="shared" si="0"/>
        <v>0</v>
      </c>
      <c r="H29" s="428">
        <f t="shared" si="1"/>
        <v>0</v>
      </c>
      <c r="I29" s="244"/>
      <c r="J29" s="19">
        <v>5.83</v>
      </c>
      <c r="K29" s="19">
        <v>6.1</v>
      </c>
      <c r="L29" s="241">
        <f t="shared" si="10"/>
        <v>0.26999999999999957</v>
      </c>
      <c r="M29" s="79">
        <f t="shared" si="11"/>
        <v>4.6312178387650012E-2</v>
      </c>
      <c r="N29" s="244"/>
      <c r="O29" s="19">
        <v>5.81</v>
      </c>
      <c r="P29" s="19">
        <v>6.15</v>
      </c>
      <c r="Q29" s="104">
        <v>0.34000000000000075</v>
      </c>
      <c r="R29" s="94">
        <v>5.8519793459552626E-2</v>
      </c>
      <c r="S29" s="244"/>
      <c r="T29" s="19">
        <v>5.77</v>
      </c>
      <c r="U29" s="19">
        <v>6.12</v>
      </c>
      <c r="V29" s="104">
        <f t="shared" si="8"/>
        <v>0.35000000000000053</v>
      </c>
      <c r="W29" s="94">
        <f t="shared" si="9"/>
        <v>6.0658578856152612E-2</v>
      </c>
      <c r="X29" s="244"/>
    </row>
    <row r="30" spans="1:24" ht="18" customHeight="1" x14ac:dyDescent="0.2">
      <c r="A30" s="243" t="s">
        <v>231</v>
      </c>
      <c r="B30" s="16" t="s">
        <v>398</v>
      </c>
      <c r="C30" s="207">
        <v>50.58</v>
      </c>
      <c r="D30" s="207">
        <v>60.93</v>
      </c>
      <c r="E30" s="19">
        <v>62.32</v>
      </c>
      <c r="F30" s="19">
        <v>62.32</v>
      </c>
      <c r="G30" s="427">
        <f t="shared" si="0"/>
        <v>0</v>
      </c>
      <c r="H30" s="428">
        <f t="shared" si="1"/>
        <v>0</v>
      </c>
      <c r="I30" s="244"/>
      <c r="J30" s="19">
        <v>61.58</v>
      </c>
      <c r="K30" s="19">
        <v>57.62</v>
      </c>
      <c r="L30" s="241">
        <f t="shared" si="10"/>
        <v>-3.9600000000000009</v>
      </c>
      <c r="M30" s="79">
        <f t="shared" si="11"/>
        <v>-6.4306593049691468E-2</v>
      </c>
      <c r="N30" s="244"/>
      <c r="O30" s="19">
        <v>60.87</v>
      </c>
      <c r="P30" s="19">
        <v>56.9</v>
      </c>
      <c r="Q30" s="104">
        <v>-3.9699999999999989</v>
      </c>
      <c r="R30" s="94">
        <v>-6.5220962707409222E-2</v>
      </c>
      <c r="S30" s="244"/>
      <c r="T30" s="19">
        <v>60.93</v>
      </c>
      <c r="U30" s="19">
        <v>57.24</v>
      </c>
      <c r="V30" s="104">
        <f t="shared" si="8"/>
        <v>-3.6899999999999977</v>
      </c>
      <c r="W30" s="94">
        <f t="shared" si="9"/>
        <v>-6.0561299852289474E-2</v>
      </c>
      <c r="X30" s="244"/>
    </row>
    <row r="31" spans="1:24" ht="18" customHeight="1" x14ac:dyDescent="0.2">
      <c r="A31" s="316" t="s">
        <v>230</v>
      </c>
      <c r="B31" s="317" t="s">
        <v>377</v>
      </c>
      <c r="C31" s="318" t="s">
        <v>183</v>
      </c>
      <c r="D31" s="318" t="s">
        <v>183</v>
      </c>
      <c r="E31" s="311" t="s">
        <v>183</v>
      </c>
      <c r="F31" s="312" t="s">
        <v>183</v>
      </c>
      <c r="G31" s="429" t="s">
        <v>183</v>
      </c>
      <c r="H31" s="430" t="s">
        <v>183</v>
      </c>
      <c r="I31" s="313" t="s">
        <v>183</v>
      </c>
      <c r="J31" s="311" t="s">
        <v>183</v>
      </c>
      <c r="K31" s="312" t="s">
        <v>183</v>
      </c>
      <c r="L31" s="312" t="s">
        <v>183</v>
      </c>
      <c r="M31" s="313" t="s">
        <v>183</v>
      </c>
      <c r="N31" s="313" t="s">
        <v>183</v>
      </c>
      <c r="O31" s="311" t="s">
        <v>183</v>
      </c>
      <c r="P31" s="312" t="s">
        <v>183</v>
      </c>
      <c r="Q31" s="312" t="s">
        <v>183</v>
      </c>
      <c r="R31" s="313" t="s">
        <v>183</v>
      </c>
      <c r="S31" s="313" t="s">
        <v>183</v>
      </c>
      <c r="T31" s="311" t="s">
        <v>183</v>
      </c>
      <c r="U31" s="312" t="s">
        <v>183</v>
      </c>
      <c r="V31" s="312" t="s">
        <v>183</v>
      </c>
      <c r="W31" s="313" t="s">
        <v>183</v>
      </c>
      <c r="X31" s="313" t="s">
        <v>183</v>
      </c>
    </row>
    <row r="32" spans="1:24" ht="18" customHeight="1" x14ac:dyDescent="0.2">
      <c r="A32" s="243" t="s">
        <v>228</v>
      </c>
      <c r="B32" s="16" t="s">
        <v>378</v>
      </c>
      <c r="C32" s="69">
        <v>111754</v>
      </c>
      <c r="D32" s="69">
        <v>115228</v>
      </c>
      <c r="E32" s="97">
        <v>28840</v>
      </c>
      <c r="F32" s="97">
        <v>28840</v>
      </c>
      <c r="G32" s="427">
        <f t="shared" si="0"/>
        <v>0</v>
      </c>
      <c r="H32" s="428">
        <f t="shared" si="1"/>
        <v>0</v>
      </c>
      <c r="I32" s="223"/>
      <c r="J32" s="97">
        <v>56632</v>
      </c>
      <c r="K32" s="97">
        <v>56968</v>
      </c>
      <c r="L32" s="78">
        <f>K32-J32</f>
        <v>336</v>
      </c>
      <c r="M32" s="79">
        <f>L32/J32</f>
        <v>5.9330413900268398E-3</v>
      </c>
      <c r="N32" s="223"/>
      <c r="O32" s="97">
        <v>85750</v>
      </c>
      <c r="P32" s="97">
        <v>86945</v>
      </c>
      <c r="Q32" s="78">
        <v>1195</v>
      </c>
      <c r="R32" s="79">
        <v>1.3935860058309038E-2</v>
      </c>
      <c r="S32" s="223"/>
      <c r="T32" s="97">
        <v>115228</v>
      </c>
      <c r="U32" s="97">
        <f t="shared" ref="U32" si="14">U33+U35</f>
        <v>114570</v>
      </c>
      <c r="V32" s="78">
        <f t="shared" ref="V32:V40" si="15">U32-T32</f>
        <v>-658</v>
      </c>
      <c r="W32" s="79">
        <f t="shared" ref="W32:W40" si="16">IFERROR(V32/ABS(T32), "-")</f>
        <v>-5.7104176068316732E-3</v>
      </c>
      <c r="X32" s="223"/>
    </row>
    <row r="33" spans="1:37" ht="18" customHeight="1" x14ac:dyDescent="0.2">
      <c r="A33" s="237" t="s">
        <v>280</v>
      </c>
      <c r="B33" s="39" t="s">
        <v>379</v>
      </c>
      <c r="C33" s="242">
        <v>90036</v>
      </c>
      <c r="D33" s="242">
        <v>92784</v>
      </c>
      <c r="E33" s="240">
        <v>23224</v>
      </c>
      <c r="F33" s="240">
        <v>23224</v>
      </c>
      <c r="G33" s="427">
        <f t="shared" si="0"/>
        <v>0</v>
      </c>
      <c r="H33" s="428">
        <f t="shared" si="1"/>
        <v>0</v>
      </c>
      <c r="I33" s="223"/>
      <c r="J33" s="240">
        <v>45712</v>
      </c>
      <c r="K33" s="240">
        <v>46177</v>
      </c>
      <c r="L33" s="78">
        <f t="shared" ref="L33:L40" si="17">K33-J33</f>
        <v>465</v>
      </c>
      <c r="M33" s="79">
        <f t="shared" ref="M33:M40" si="18">L33/J33</f>
        <v>1.0172383619180958E-2</v>
      </c>
      <c r="N33" s="223"/>
      <c r="O33" s="240">
        <v>69059</v>
      </c>
      <c r="P33" s="240">
        <v>70447</v>
      </c>
      <c r="Q33" s="83">
        <v>1388</v>
      </c>
      <c r="R33" s="79">
        <v>2.0098756136057574E-2</v>
      </c>
      <c r="S33" s="223"/>
      <c r="T33" s="240">
        <v>92784</v>
      </c>
      <c r="U33" s="240">
        <v>92550</v>
      </c>
      <c r="V33" s="83">
        <f t="shared" si="15"/>
        <v>-234</v>
      </c>
      <c r="W33" s="79">
        <f t="shared" si="16"/>
        <v>-2.52198654940507E-3</v>
      </c>
      <c r="X33" s="223"/>
    </row>
    <row r="34" spans="1:37" ht="18" customHeight="1" x14ac:dyDescent="0.2">
      <c r="A34" s="237" t="s">
        <v>281</v>
      </c>
      <c r="B34" s="250" t="s">
        <v>229</v>
      </c>
      <c r="C34" s="242">
        <v>505</v>
      </c>
      <c r="D34" s="242">
        <v>614</v>
      </c>
      <c r="E34" s="240">
        <v>168</v>
      </c>
      <c r="F34" s="240">
        <v>168</v>
      </c>
      <c r="G34" s="427">
        <f t="shared" si="0"/>
        <v>0</v>
      </c>
      <c r="H34" s="428">
        <f t="shared" si="1"/>
        <v>0</v>
      </c>
      <c r="I34" s="223"/>
      <c r="J34" s="240">
        <v>326</v>
      </c>
      <c r="K34" s="240">
        <v>322</v>
      </c>
      <c r="L34" s="78">
        <f t="shared" si="17"/>
        <v>-4</v>
      </c>
      <c r="M34" s="79">
        <f t="shared" si="18"/>
        <v>-1.2269938650306749E-2</v>
      </c>
      <c r="N34" s="223"/>
      <c r="O34" s="240">
        <v>453</v>
      </c>
      <c r="P34" s="240">
        <v>464</v>
      </c>
      <c r="Q34" s="83">
        <v>11</v>
      </c>
      <c r="R34" s="79">
        <v>2.4282560706401765E-2</v>
      </c>
      <c r="S34" s="223"/>
      <c r="T34" s="240">
        <v>614</v>
      </c>
      <c r="U34" s="240">
        <v>608</v>
      </c>
      <c r="V34" s="83">
        <f t="shared" si="15"/>
        <v>-6</v>
      </c>
      <c r="W34" s="79">
        <f t="shared" si="16"/>
        <v>-9.7719869706840382E-3</v>
      </c>
      <c r="X34" s="223"/>
    </row>
    <row r="35" spans="1:37" ht="18" customHeight="1" x14ac:dyDescent="0.2">
      <c r="A35" s="237" t="s">
        <v>282</v>
      </c>
      <c r="B35" s="39" t="s">
        <v>380</v>
      </c>
      <c r="C35" s="242">
        <v>21718</v>
      </c>
      <c r="D35" s="242">
        <v>22444</v>
      </c>
      <c r="E35" s="240">
        <v>5616</v>
      </c>
      <c r="F35" s="240">
        <v>5616</v>
      </c>
      <c r="G35" s="427">
        <f t="shared" si="0"/>
        <v>0</v>
      </c>
      <c r="H35" s="428">
        <f t="shared" si="1"/>
        <v>0</v>
      </c>
      <c r="I35" s="223"/>
      <c r="J35" s="240">
        <v>10920</v>
      </c>
      <c r="K35" s="240">
        <v>10791</v>
      </c>
      <c r="L35" s="78">
        <f t="shared" si="17"/>
        <v>-129</v>
      </c>
      <c r="M35" s="79">
        <f t="shared" si="18"/>
        <v>-1.1813186813186813E-2</v>
      </c>
      <c r="N35" s="223"/>
      <c r="O35" s="240">
        <v>16691</v>
      </c>
      <c r="P35" s="240">
        <v>16498</v>
      </c>
      <c r="Q35" s="83">
        <v>-193</v>
      </c>
      <c r="R35" s="79">
        <v>-1.1563117847942004E-2</v>
      </c>
      <c r="S35" s="223"/>
      <c r="T35" s="240">
        <v>22444</v>
      </c>
      <c r="U35" s="240">
        <v>22020</v>
      </c>
      <c r="V35" s="83">
        <f t="shared" si="15"/>
        <v>-424</v>
      </c>
      <c r="W35" s="79">
        <f t="shared" si="16"/>
        <v>-1.8891463197291035E-2</v>
      </c>
      <c r="X35" s="223"/>
    </row>
    <row r="36" spans="1:37" ht="18" customHeight="1" x14ac:dyDescent="0.2">
      <c r="A36" s="237" t="s">
        <v>283</v>
      </c>
      <c r="B36" s="250" t="s">
        <v>229</v>
      </c>
      <c r="C36" s="242">
        <v>0</v>
      </c>
      <c r="D36" s="242"/>
      <c r="E36" s="240">
        <v>0</v>
      </c>
      <c r="F36" s="240">
        <v>0</v>
      </c>
      <c r="G36" s="427">
        <f t="shared" si="0"/>
        <v>0</v>
      </c>
      <c r="H36" s="428" t="str">
        <f t="shared" si="1"/>
        <v>-</v>
      </c>
      <c r="I36" s="223"/>
      <c r="J36" s="240"/>
      <c r="K36" s="240"/>
      <c r="L36" s="78">
        <f t="shared" si="17"/>
        <v>0</v>
      </c>
      <c r="M36" s="79" t="e">
        <f t="shared" si="18"/>
        <v>#DIV/0!</v>
      </c>
      <c r="N36" s="223"/>
      <c r="O36" s="240"/>
      <c r="P36" s="240"/>
      <c r="Q36" s="83">
        <v>0</v>
      </c>
      <c r="R36" s="79" t="s">
        <v>579</v>
      </c>
      <c r="S36" s="223"/>
      <c r="T36" s="240"/>
      <c r="U36" s="240"/>
      <c r="V36" s="83">
        <f t="shared" si="15"/>
        <v>0</v>
      </c>
      <c r="W36" s="79" t="str">
        <f t="shared" si="16"/>
        <v>-</v>
      </c>
      <c r="X36" s="223"/>
    </row>
    <row r="37" spans="1:37" ht="18" customHeight="1" x14ac:dyDescent="0.2">
      <c r="A37" s="237" t="s">
        <v>285</v>
      </c>
      <c r="B37" s="17" t="s">
        <v>288</v>
      </c>
      <c r="C37" s="242"/>
      <c r="D37" s="242"/>
      <c r="E37" s="240"/>
      <c r="F37" s="240"/>
      <c r="G37" s="427">
        <f t="shared" si="0"/>
        <v>0</v>
      </c>
      <c r="H37" s="428" t="str">
        <f t="shared" si="1"/>
        <v>-</v>
      </c>
      <c r="I37" s="223"/>
      <c r="J37" s="240"/>
      <c r="K37" s="240"/>
      <c r="L37" s="78">
        <f t="shared" si="17"/>
        <v>0</v>
      </c>
      <c r="M37" s="79" t="e">
        <f t="shared" si="18"/>
        <v>#DIV/0!</v>
      </c>
      <c r="N37" s="223"/>
      <c r="O37" s="240"/>
      <c r="P37" s="240"/>
      <c r="Q37" s="83">
        <v>0</v>
      </c>
      <c r="R37" s="79" t="s">
        <v>579</v>
      </c>
      <c r="S37" s="223"/>
      <c r="T37" s="240"/>
      <c r="U37" s="240"/>
      <c r="V37" s="83">
        <f t="shared" si="15"/>
        <v>0</v>
      </c>
      <c r="W37" s="79" t="str">
        <f t="shared" si="16"/>
        <v>-</v>
      </c>
      <c r="X37" s="223"/>
      <c r="AK37" s="11" t="s">
        <v>582</v>
      </c>
    </row>
    <row r="38" spans="1:37" ht="18" customHeight="1" x14ac:dyDescent="0.2">
      <c r="A38" s="237" t="s">
        <v>286</v>
      </c>
      <c r="B38" s="17" t="s">
        <v>399</v>
      </c>
      <c r="C38" s="242"/>
      <c r="D38" s="242"/>
      <c r="E38" s="240"/>
      <c r="F38" s="240"/>
      <c r="G38" s="427">
        <f t="shared" si="0"/>
        <v>0</v>
      </c>
      <c r="H38" s="428" t="str">
        <f t="shared" si="1"/>
        <v>-</v>
      </c>
      <c r="I38" s="223"/>
      <c r="J38" s="240"/>
      <c r="K38" s="240"/>
      <c r="L38" s="78">
        <f t="shared" si="17"/>
        <v>0</v>
      </c>
      <c r="M38" s="79" t="e">
        <f t="shared" si="18"/>
        <v>#DIV/0!</v>
      </c>
      <c r="N38" s="223"/>
      <c r="O38" s="240"/>
      <c r="P38" s="240"/>
      <c r="Q38" s="83">
        <v>0</v>
      </c>
      <c r="R38" s="79" t="s">
        <v>579</v>
      </c>
      <c r="S38" s="223"/>
      <c r="T38" s="240"/>
      <c r="U38" s="240"/>
      <c r="V38" s="83">
        <f t="shared" si="15"/>
        <v>0</v>
      </c>
      <c r="W38" s="79" t="str">
        <f t="shared" si="16"/>
        <v>-</v>
      </c>
      <c r="X38" s="223"/>
    </row>
    <row r="39" spans="1:37" ht="78.75" x14ac:dyDescent="0.2">
      <c r="A39" s="237" t="s">
        <v>284</v>
      </c>
      <c r="B39" s="16" t="s">
        <v>458</v>
      </c>
      <c r="C39" s="207">
        <v>2848</v>
      </c>
      <c r="D39" s="207">
        <v>2961</v>
      </c>
      <c r="E39" s="240">
        <v>700</v>
      </c>
      <c r="F39" s="240">
        <v>700</v>
      </c>
      <c r="G39" s="427">
        <f t="shared" si="0"/>
        <v>0</v>
      </c>
      <c r="H39" s="428">
        <f t="shared" si="1"/>
        <v>0</v>
      </c>
      <c r="I39" s="223"/>
      <c r="J39" s="240">
        <v>1437</v>
      </c>
      <c r="K39" s="240">
        <v>1609</v>
      </c>
      <c r="L39" s="78">
        <f t="shared" si="17"/>
        <v>172</v>
      </c>
      <c r="M39" s="79">
        <f t="shared" si="18"/>
        <v>0.11969380654140571</v>
      </c>
      <c r="N39" s="223"/>
      <c r="O39" s="240">
        <v>2162</v>
      </c>
      <c r="P39" s="240">
        <v>2497</v>
      </c>
      <c r="Q39" s="83">
        <v>335</v>
      </c>
      <c r="R39" s="79">
        <v>0.15494912118408879</v>
      </c>
      <c r="S39" s="525" t="s">
        <v>717</v>
      </c>
      <c r="T39" s="240">
        <v>2961</v>
      </c>
      <c r="U39" s="240">
        <v>3593</v>
      </c>
      <c r="V39" s="83">
        <f t="shared" si="15"/>
        <v>632</v>
      </c>
      <c r="W39" s="79">
        <f t="shared" si="16"/>
        <v>0.21344140493076663</v>
      </c>
      <c r="X39" s="525" t="s">
        <v>717</v>
      </c>
    </row>
    <row r="40" spans="1:37" ht="18" customHeight="1" x14ac:dyDescent="0.2">
      <c r="A40" s="251" t="s">
        <v>298</v>
      </c>
      <c r="B40" s="252" t="s">
        <v>300</v>
      </c>
      <c r="C40" s="253">
        <v>437</v>
      </c>
      <c r="D40" s="253">
        <v>513</v>
      </c>
      <c r="E40" s="240">
        <v>148</v>
      </c>
      <c r="F40" s="240">
        <v>148</v>
      </c>
      <c r="G40" s="427">
        <f t="shared" si="0"/>
        <v>0</v>
      </c>
      <c r="H40" s="428">
        <f t="shared" si="1"/>
        <v>0</v>
      </c>
      <c r="I40" s="439"/>
      <c r="J40" s="254">
        <v>262</v>
      </c>
      <c r="K40" s="240">
        <v>288</v>
      </c>
      <c r="L40" s="78">
        <f t="shared" si="17"/>
        <v>26</v>
      </c>
      <c r="M40" s="79">
        <f t="shared" si="18"/>
        <v>9.9236641221374045E-2</v>
      </c>
      <c r="N40" s="223"/>
      <c r="O40" s="254">
        <v>377</v>
      </c>
      <c r="P40" s="240">
        <v>427</v>
      </c>
      <c r="Q40" s="83">
        <v>50</v>
      </c>
      <c r="R40" s="255">
        <v>0.13262599469496023</v>
      </c>
      <c r="S40" s="223"/>
      <c r="T40" s="254">
        <v>513</v>
      </c>
      <c r="U40" s="240">
        <v>539</v>
      </c>
      <c r="V40" s="83">
        <f t="shared" si="15"/>
        <v>26</v>
      </c>
      <c r="W40" s="255">
        <f t="shared" si="16"/>
        <v>5.0682261208576995E-2</v>
      </c>
      <c r="X40" s="223"/>
    </row>
    <row r="41" spans="1:37" ht="18" customHeight="1" x14ac:dyDescent="0.2">
      <c r="A41" s="308" t="s">
        <v>227</v>
      </c>
      <c r="B41" s="319" t="s">
        <v>381</v>
      </c>
      <c r="C41" s="320" t="s">
        <v>183</v>
      </c>
      <c r="D41" s="320" t="s">
        <v>183</v>
      </c>
      <c r="E41" s="311" t="s">
        <v>183</v>
      </c>
      <c r="F41" s="312" t="s">
        <v>183</v>
      </c>
      <c r="G41" s="312" t="s">
        <v>183</v>
      </c>
      <c r="H41" s="313" t="s">
        <v>183</v>
      </c>
      <c r="I41" s="313" t="s">
        <v>183</v>
      </c>
      <c r="J41" s="311" t="s">
        <v>183</v>
      </c>
      <c r="K41" s="312" t="s">
        <v>183</v>
      </c>
      <c r="L41" s="312" t="s">
        <v>183</v>
      </c>
      <c r="M41" s="313" t="s">
        <v>183</v>
      </c>
      <c r="N41" s="313" t="s">
        <v>183</v>
      </c>
      <c r="O41" s="311" t="s">
        <v>183</v>
      </c>
      <c r="P41" s="312" t="s">
        <v>183</v>
      </c>
      <c r="Q41" s="312" t="s">
        <v>183</v>
      </c>
      <c r="R41" s="313" t="s">
        <v>183</v>
      </c>
      <c r="S41" s="313" t="s">
        <v>183</v>
      </c>
      <c r="T41" s="311" t="s">
        <v>183</v>
      </c>
      <c r="U41" s="312" t="s">
        <v>183</v>
      </c>
      <c r="V41" s="312" t="s">
        <v>183</v>
      </c>
      <c r="W41" s="313" t="s">
        <v>183</v>
      </c>
      <c r="X41" s="313" t="s">
        <v>183</v>
      </c>
    </row>
    <row r="42" spans="1:37" ht="18" customHeight="1" x14ac:dyDescent="0.2">
      <c r="A42" s="220" t="s">
        <v>226</v>
      </c>
      <c r="B42" s="256" t="s">
        <v>219</v>
      </c>
      <c r="C42" s="143"/>
      <c r="D42" s="143"/>
      <c r="E42" s="82"/>
      <c r="F42" s="82"/>
      <c r="G42" s="83">
        <f t="shared" ref="G42:G46" si="19">F42-E42</f>
        <v>0</v>
      </c>
      <c r="H42" s="79" t="str">
        <f t="shared" ref="H42:H46" si="20">IFERROR(G42/ABS(E42), "-")</f>
        <v>-</v>
      </c>
      <c r="I42" s="223"/>
      <c r="J42" s="82"/>
      <c r="K42" s="82"/>
      <c r="L42" s="83">
        <f t="shared" ref="L42:L46" si="21">K42-J42</f>
        <v>0</v>
      </c>
      <c r="M42" s="79" t="str">
        <f t="shared" ref="M42:M46" si="22">IFERROR(L42/ABS(J42), "-")</f>
        <v>-</v>
      </c>
      <c r="N42" s="223"/>
      <c r="O42" s="82"/>
      <c r="P42" s="82"/>
      <c r="Q42" s="83">
        <f t="shared" ref="Q42:Q46" si="23">P42-O42</f>
        <v>0</v>
      </c>
      <c r="R42" s="79" t="str">
        <f t="shared" ref="R42:R46" si="24">IFERROR(Q42/ABS(O42), "-")</f>
        <v>-</v>
      </c>
      <c r="S42" s="223"/>
      <c r="T42" s="82"/>
      <c r="U42" s="82"/>
      <c r="V42" s="83">
        <f t="shared" ref="V42:V46" si="25">U42-T42</f>
        <v>0</v>
      </c>
      <c r="W42" s="79" t="str">
        <f t="shared" ref="W42:W46" si="26">IFERROR(V42/ABS(T42), "-")</f>
        <v>-</v>
      </c>
      <c r="X42" s="223"/>
    </row>
    <row r="43" spans="1:37" ht="18" customHeight="1" x14ac:dyDescent="0.2">
      <c r="A43" s="220" t="s">
        <v>225</v>
      </c>
      <c r="B43" s="256" t="s">
        <v>459</v>
      </c>
      <c r="C43" s="143"/>
      <c r="D43" s="143"/>
      <c r="E43" s="82"/>
      <c r="F43" s="82"/>
      <c r="G43" s="83">
        <f t="shared" si="19"/>
        <v>0</v>
      </c>
      <c r="H43" s="79" t="str">
        <f t="shared" si="20"/>
        <v>-</v>
      </c>
      <c r="I43" s="223"/>
      <c r="J43" s="82"/>
      <c r="K43" s="82"/>
      <c r="L43" s="83">
        <f t="shared" si="21"/>
        <v>0</v>
      </c>
      <c r="M43" s="79" t="str">
        <f t="shared" si="22"/>
        <v>-</v>
      </c>
      <c r="N43" s="223"/>
      <c r="O43" s="82"/>
      <c r="P43" s="82"/>
      <c r="Q43" s="83">
        <f t="shared" si="23"/>
        <v>0</v>
      </c>
      <c r="R43" s="79" t="str">
        <f t="shared" si="24"/>
        <v>-</v>
      </c>
      <c r="S43" s="223"/>
      <c r="T43" s="82"/>
      <c r="U43" s="82"/>
      <c r="V43" s="83">
        <f t="shared" si="25"/>
        <v>0</v>
      </c>
      <c r="W43" s="79" t="str">
        <f t="shared" si="26"/>
        <v>-</v>
      </c>
      <c r="X43" s="223"/>
    </row>
    <row r="44" spans="1:37" ht="18" customHeight="1" x14ac:dyDescent="0.2">
      <c r="A44" s="220" t="s">
        <v>224</v>
      </c>
      <c r="B44" s="256" t="s">
        <v>460</v>
      </c>
      <c r="C44" s="143"/>
      <c r="D44" s="143"/>
      <c r="E44" s="82"/>
      <c r="F44" s="82"/>
      <c r="G44" s="83">
        <f t="shared" si="19"/>
        <v>0</v>
      </c>
      <c r="H44" s="79" t="str">
        <f t="shared" si="20"/>
        <v>-</v>
      </c>
      <c r="I44" s="223"/>
      <c r="J44" s="82"/>
      <c r="K44" s="82"/>
      <c r="L44" s="83">
        <f t="shared" si="21"/>
        <v>0</v>
      </c>
      <c r="M44" s="79" t="str">
        <f t="shared" si="22"/>
        <v>-</v>
      </c>
      <c r="N44" s="223"/>
      <c r="O44" s="82"/>
      <c r="P44" s="82"/>
      <c r="Q44" s="83">
        <f t="shared" si="23"/>
        <v>0</v>
      </c>
      <c r="R44" s="79" t="str">
        <f t="shared" si="24"/>
        <v>-</v>
      </c>
      <c r="S44" s="223"/>
      <c r="T44" s="82"/>
      <c r="U44" s="82"/>
      <c r="V44" s="83">
        <f t="shared" si="25"/>
        <v>0</v>
      </c>
      <c r="W44" s="79" t="str">
        <f t="shared" si="26"/>
        <v>-</v>
      </c>
      <c r="X44" s="223"/>
    </row>
    <row r="45" spans="1:37" ht="18" customHeight="1" x14ac:dyDescent="0.2">
      <c r="A45" s="220" t="s">
        <v>223</v>
      </c>
      <c r="B45" s="256" t="s">
        <v>215</v>
      </c>
      <c r="C45" s="143"/>
      <c r="D45" s="143"/>
      <c r="E45" s="82"/>
      <c r="F45" s="82"/>
      <c r="G45" s="83">
        <f t="shared" si="19"/>
        <v>0</v>
      </c>
      <c r="H45" s="79" t="str">
        <f t="shared" si="20"/>
        <v>-</v>
      </c>
      <c r="I45" s="223"/>
      <c r="J45" s="82"/>
      <c r="K45" s="82"/>
      <c r="L45" s="83">
        <f t="shared" si="21"/>
        <v>0</v>
      </c>
      <c r="M45" s="79" t="str">
        <f t="shared" si="22"/>
        <v>-</v>
      </c>
      <c r="N45" s="223"/>
      <c r="O45" s="82"/>
      <c r="P45" s="82"/>
      <c r="Q45" s="83">
        <f t="shared" si="23"/>
        <v>0</v>
      </c>
      <c r="R45" s="79" t="str">
        <f t="shared" si="24"/>
        <v>-</v>
      </c>
      <c r="S45" s="223"/>
      <c r="T45" s="82"/>
      <c r="U45" s="82"/>
      <c r="V45" s="83">
        <f t="shared" si="25"/>
        <v>0</v>
      </c>
      <c r="W45" s="79" t="str">
        <f t="shared" si="26"/>
        <v>-</v>
      </c>
      <c r="X45" s="223"/>
    </row>
    <row r="46" spans="1:37" ht="18" customHeight="1" x14ac:dyDescent="0.2">
      <c r="A46" s="220" t="s">
        <v>222</v>
      </c>
      <c r="B46" s="256" t="s">
        <v>461</v>
      </c>
      <c r="C46" s="143"/>
      <c r="D46" s="143"/>
      <c r="E46" s="82"/>
      <c r="F46" s="82"/>
      <c r="G46" s="83">
        <f t="shared" si="19"/>
        <v>0</v>
      </c>
      <c r="H46" s="79" t="str">
        <f t="shared" si="20"/>
        <v>-</v>
      </c>
      <c r="I46" s="223"/>
      <c r="J46" s="82"/>
      <c r="K46" s="82"/>
      <c r="L46" s="83">
        <f t="shared" si="21"/>
        <v>0</v>
      </c>
      <c r="M46" s="79" t="str">
        <f t="shared" si="22"/>
        <v>-</v>
      </c>
      <c r="N46" s="223"/>
      <c r="O46" s="82"/>
      <c r="P46" s="82"/>
      <c r="Q46" s="83">
        <f t="shared" si="23"/>
        <v>0</v>
      </c>
      <c r="R46" s="79" t="str">
        <f t="shared" si="24"/>
        <v>-</v>
      </c>
      <c r="S46" s="223"/>
      <c r="T46" s="82"/>
      <c r="U46" s="82"/>
      <c r="V46" s="83">
        <f t="shared" si="25"/>
        <v>0</v>
      </c>
      <c r="W46" s="79" t="str">
        <f t="shared" si="26"/>
        <v>-</v>
      </c>
      <c r="X46" s="223"/>
    </row>
    <row r="47" spans="1:37" ht="18" customHeight="1" x14ac:dyDescent="0.2">
      <c r="A47" s="308" t="s">
        <v>221</v>
      </c>
      <c r="B47" s="319" t="s">
        <v>382</v>
      </c>
      <c r="C47" s="320" t="s">
        <v>183</v>
      </c>
      <c r="D47" s="320" t="s">
        <v>183</v>
      </c>
      <c r="E47" s="311" t="s">
        <v>183</v>
      </c>
      <c r="F47" s="312" t="s">
        <v>183</v>
      </c>
      <c r="G47" s="312" t="s">
        <v>183</v>
      </c>
      <c r="H47" s="313" t="s">
        <v>183</v>
      </c>
      <c r="I47" s="313" t="s">
        <v>183</v>
      </c>
      <c r="J47" s="311" t="s">
        <v>183</v>
      </c>
      <c r="K47" s="312" t="s">
        <v>183</v>
      </c>
      <c r="L47" s="312" t="s">
        <v>183</v>
      </c>
      <c r="M47" s="313" t="s">
        <v>183</v>
      </c>
      <c r="N47" s="313" t="s">
        <v>183</v>
      </c>
      <c r="O47" s="311" t="s">
        <v>183</v>
      </c>
      <c r="P47" s="312" t="s">
        <v>183</v>
      </c>
      <c r="Q47" s="312" t="s">
        <v>183</v>
      </c>
      <c r="R47" s="313" t="s">
        <v>183</v>
      </c>
      <c r="S47" s="313" t="s">
        <v>183</v>
      </c>
      <c r="T47" s="311" t="s">
        <v>183</v>
      </c>
      <c r="U47" s="312" t="s">
        <v>183</v>
      </c>
      <c r="V47" s="312" t="s">
        <v>183</v>
      </c>
      <c r="W47" s="313" t="s">
        <v>183</v>
      </c>
      <c r="X47" s="313" t="s">
        <v>183</v>
      </c>
    </row>
    <row r="48" spans="1:37" ht="18" customHeight="1" x14ac:dyDescent="0.2">
      <c r="A48" s="220" t="s">
        <v>220</v>
      </c>
      <c r="B48" s="256" t="s">
        <v>219</v>
      </c>
      <c r="C48" s="143"/>
      <c r="D48" s="143"/>
      <c r="E48" s="82"/>
      <c r="F48" s="82"/>
      <c r="G48" s="83">
        <f t="shared" ref="G48:G52" si="27">F48-E48</f>
        <v>0</v>
      </c>
      <c r="H48" s="79" t="str">
        <f t="shared" ref="H48:H52" si="28">IFERROR(G48/ABS(E48), "-")</f>
        <v>-</v>
      </c>
      <c r="I48" s="223"/>
      <c r="J48" s="82"/>
      <c r="K48" s="82"/>
      <c r="L48" s="83">
        <f t="shared" ref="L48:L52" si="29">K48-J48</f>
        <v>0</v>
      </c>
      <c r="M48" s="79" t="str">
        <f t="shared" ref="M48:M52" si="30">IFERROR(L48/ABS(J48), "-")</f>
        <v>-</v>
      </c>
      <c r="N48" s="223"/>
      <c r="O48" s="82"/>
      <c r="P48" s="82"/>
      <c r="Q48" s="83">
        <f t="shared" ref="Q48:Q52" si="31">P48-O48</f>
        <v>0</v>
      </c>
      <c r="R48" s="79" t="str">
        <f t="shared" ref="R48:R52" si="32">IFERROR(Q48/ABS(O48), "-")</f>
        <v>-</v>
      </c>
      <c r="S48" s="223"/>
      <c r="T48" s="82"/>
      <c r="U48" s="82"/>
      <c r="V48" s="83">
        <f t="shared" ref="V48:V52" si="33">U48-T48</f>
        <v>0</v>
      </c>
      <c r="W48" s="79" t="str">
        <f t="shared" ref="W48:W52" si="34">IFERROR(V48/ABS(T48), "-")</f>
        <v>-</v>
      </c>
      <c r="X48" s="223"/>
    </row>
    <row r="49" spans="1:24" ht="18" customHeight="1" x14ac:dyDescent="0.2">
      <c r="A49" s="220" t="s">
        <v>218</v>
      </c>
      <c r="B49" s="256" t="s">
        <v>459</v>
      </c>
      <c r="C49" s="143"/>
      <c r="D49" s="143"/>
      <c r="E49" s="82"/>
      <c r="F49" s="82"/>
      <c r="G49" s="83">
        <f t="shared" si="27"/>
        <v>0</v>
      </c>
      <c r="H49" s="79" t="str">
        <f t="shared" si="28"/>
        <v>-</v>
      </c>
      <c r="I49" s="223"/>
      <c r="J49" s="82"/>
      <c r="K49" s="82"/>
      <c r="L49" s="83">
        <f t="shared" si="29"/>
        <v>0</v>
      </c>
      <c r="M49" s="79" t="str">
        <f t="shared" si="30"/>
        <v>-</v>
      </c>
      <c r="N49" s="223"/>
      <c r="O49" s="82"/>
      <c r="P49" s="82"/>
      <c r="Q49" s="83">
        <f t="shared" si="31"/>
        <v>0</v>
      </c>
      <c r="R49" s="79" t="str">
        <f t="shared" si="32"/>
        <v>-</v>
      </c>
      <c r="S49" s="223"/>
      <c r="T49" s="82"/>
      <c r="U49" s="82"/>
      <c r="V49" s="83">
        <f t="shared" si="33"/>
        <v>0</v>
      </c>
      <c r="W49" s="79" t="str">
        <f t="shared" si="34"/>
        <v>-</v>
      </c>
      <c r="X49" s="223"/>
    </row>
    <row r="50" spans="1:24" ht="18" customHeight="1" x14ac:dyDescent="0.2">
      <c r="A50" s="220" t="s">
        <v>217</v>
      </c>
      <c r="B50" s="256" t="s">
        <v>460</v>
      </c>
      <c r="C50" s="143"/>
      <c r="D50" s="143"/>
      <c r="E50" s="82"/>
      <c r="F50" s="82"/>
      <c r="G50" s="83">
        <f t="shared" si="27"/>
        <v>0</v>
      </c>
      <c r="H50" s="79" t="str">
        <f t="shared" si="28"/>
        <v>-</v>
      </c>
      <c r="I50" s="223"/>
      <c r="J50" s="82"/>
      <c r="K50" s="82"/>
      <c r="L50" s="83">
        <f t="shared" si="29"/>
        <v>0</v>
      </c>
      <c r="M50" s="79" t="str">
        <f t="shared" si="30"/>
        <v>-</v>
      </c>
      <c r="N50" s="223"/>
      <c r="O50" s="82"/>
      <c r="P50" s="82"/>
      <c r="Q50" s="83">
        <f t="shared" si="31"/>
        <v>0</v>
      </c>
      <c r="R50" s="79" t="str">
        <f t="shared" si="32"/>
        <v>-</v>
      </c>
      <c r="S50" s="223"/>
      <c r="T50" s="82"/>
      <c r="U50" s="82"/>
      <c r="V50" s="83">
        <f t="shared" si="33"/>
        <v>0</v>
      </c>
      <c r="W50" s="79" t="str">
        <f t="shared" si="34"/>
        <v>-</v>
      </c>
      <c r="X50" s="223"/>
    </row>
    <row r="51" spans="1:24" ht="18" customHeight="1" x14ac:dyDescent="0.2">
      <c r="A51" s="220" t="s">
        <v>216</v>
      </c>
      <c r="B51" s="256" t="s">
        <v>215</v>
      </c>
      <c r="C51" s="143"/>
      <c r="D51" s="143"/>
      <c r="E51" s="82"/>
      <c r="F51" s="82"/>
      <c r="G51" s="83">
        <f t="shared" si="27"/>
        <v>0</v>
      </c>
      <c r="H51" s="79" t="str">
        <f t="shared" si="28"/>
        <v>-</v>
      </c>
      <c r="I51" s="223"/>
      <c r="J51" s="82"/>
      <c r="K51" s="82"/>
      <c r="L51" s="83">
        <f t="shared" si="29"/>
        <v>0</v>
      </c>
      <c r="M51" s="79" t="str">
        <f t="shared" si="30"/>
        <v>-</v>
      </c>
      <c r="N51" s="223"/>
      <c r="O51" s="82"/>
      <c r="P51" s="82"/>
      <c r="Q51" s="83">
        <f t="shared" si="31"/>
        <v>0</v>
      </c>
      <c r="R51" s="79" t="str">
        <f t="shared" si="32"/>
        <v>-</v>
      </c>
      <c r="S51" s="223"/>
      <c r="T51" s="82"/>
      <c r="U51" s="82"/>
      <c r="V51" s="83">
        <f t="shared" si="33"/>
        <v>0</v>
      </c>
      <c r="W51" s="79" t="str">
        <f t="shared" si="34"/>
        <v>-</v>
      </c>
      <c r="X51" s="223"/>
    </row>
    <row r="52" spans="1:24" ht="18" customHeight="1" x14ac:dyDescent="0.2">
      <c r="A52" s="220" t="s">
        <v>214</v>
      </c>
      <c r="B52" s="256" t="s">
        <v>461</v>
      </c>
      <c r="C52" s="143"/>
      <c r="D52" s="143"/>
      <c r="E52" s="82"/>
      <c r="F52" s="82"/>
      <c r="G52" s="83">
        <f t="shared" si="27"/>
        <v>0</v>
      </c>
      <c r="H52" s="79" t="str">
        <f t="shared" si="28"/>
        <v>-</v>
      </c>
      <c r="I52" s="223"/>
      <c r="J52" s="82"/>
      <c r="K52" s="82"/>
      <c r="L52" s="83">
        <f t="shared" si="29"/>
        <v>0</v>
      </c>
      <c r="M52" s="79" t="str">
        <f t="shared" si="30"/>
        <v>-</v>
      </c>
      <c r="N52" s="223"/>
      <c r="O52" s="82"/>
      <c r="P52" s="82"/>
      <c r="Q52" s="83">
        <f t="shared" si="31"/>
        <v>0</v>
      </c>
      <c r="R52" s="79" t="str">
        <f t="shared" si="32"/>
        <v>-</v>
      </c>
      <c r="S52" s="223"/>
      <c r="T52" s="82"/>
      <c r="U52" s="82"/>
      <c r="V52" s="83">
        <f t="shared" si="33"/>
        <v>0</v>
      </c>
      <c r="W52" s="79" t="str">
        <f t="shared" si="34"/>
        <v>-</v>
      </c>
      <c r="X52" s="223"/>
    </row>
    <row r="53" spans="1:24" ht="18" customHeight="1" x14ac:dyDescent="0.2">
      <c r="A53" s="308" t="s">
        <v>213</v>
      </c>
      <c r="B53" s="321" t="s">
        <v>383</v>
      </c>
      <c r="C53" s="322" t="s">
        <v>183</v>
      </c>
      <c r="D53" s="322" t="s">
        <v>183</v>
      </c>
      <c r="E53" s="311" t="s">
        <v>183</v>
      </c>
      <c r="F53" s="312" t="s">
        <v>183</v>
      </c>
      <c r="G53" s="312" t="s">
        <v>183</v>
      </c>
      <c r="H53" s="313" t="s">
        <v>183</v>
      </c>
      <c r="I53" s="313" t="s">
        <v>183</v>
      </c>
      <c r="J53" s="311" t="s">
        <v>183</v>
      </c>
      <c r="K53" s="312" t="s">
        <v>183</v>
      </c>
      <c r="L53" s="312" t="s">
        <v>183</v>
      </c>
      <c r="M53" s="313" t="s">
        <v>183</v>
      </c>
      <c r="N53" s="313" t="s">
        <v>183</v>
      </c>
      <c r="O53" s="311" t="s">
        <v>183</v>
      </c>
      <c r="P53" s="312" t="s">
        <v>183</v>
      </c>
      <c r="Q53" s="312" t="s">
        <v>183</v>
      </c>
      <c r="R53" s="313" t="s">
        <v>183</v>
      </c>
      <c r="S53" s="313" t="s">
        <v>183</v>
      </c>
      <c r="T53" s="311" t="s">
        <v>183</v>
      </c>
      <c r="U53" s="312" t="s">
        <v>183</v>
      </c>
      <c r="V53" s="312" t="s">
        <v>183</v>
      </c>
      <c r="W53" s="313" t="s">
        <v>183</v>
      </c>
      <c r="X53" s="313" t="s">
        <v>183</v>
      </c>
    </row>
    <row r="54" spans="1:24" ht="18" customHeight="1" x14ac:dyDescent="0.2">
      <c r="A54" s="249" t="s">
        <v>212</v>
      </c>
      <c r="B54" s="127" t="s">
        <v>211</v>
      </c>
      <c r="C54" s="117">
        <v>605</v>
      </c>
      <c r="D54" s="117">
        <v>617</v>
      </c>
      <c r="E54" s="117">
        <f t="shared" ref="E54" si="35">SUM(E55:E59)</f>
        <v>611</v>
      </c>
      <c r="F54" s="117">
        <v>611</v>
      </c>
      <c r="G54" s="120">
        <f t="shared" ref="G54:G77" si="36">F54-E54</f>
        <v>0</v>
      </c>
      <c r="H54" s="121">
        <f>IFERROR(G54/ABS(E54), "-")</f>
        <v>0</v>
      </c>
      <c r="I54" s="257"/>
      <c r="J54" s="117">
        <v>615</v>
      </c>
      <c r="K54" s="117">
        <v>615</v>
      </c>
      <c r="L54" s="120">
        <f t="shared" ref="L54:L59" si="37">K54-J54</f>
        <v>0</v>
      </c>
      <c r="M54" s="121">
        <f t="shared" ref="M54:M77" si="38">IFERROR(L54/ABS(J54), "-")</f>
        <v>0</v>
      </c>
      <c r="N54" s="257"/>
      <c r="O54" s="117">
        <v>576</v>
      </c>
      <c r="P54" s="117">
        <v>620</v>
      </c>
      <c r="Q54" s="120">
        <f t="shared" ref="Q54:Q59" si="39">P54-O54</f>
        <v>44</v>
      </c>
      <c r="R54" s="121">
        <f t="shared" ref="R54:R77" si="40">IFERROR(Q54/ABS(O54), "-")</f>
        <v>7.6388888888888895E-2</v>
      </c>
      <c r="S54" s="257"/>
      <c r="T54" s="117">
        <v>617</v>
      </c>
      <c r="U54" s="117">
        <v>630</v>
      </c>
      <c r="V54" s="120">
        <f t="shared" ref="V54:V60" si="41">U54-T54</f>
        <v>13</v>
      </c>
      <c r="W54" s="121">
        <f t="shared" ref="W54:W77" si="42">IFERROR(V54/ABS(T54), "-")</f>
        <v>2.1069692058346839E-2</v>
      </c>
      <c r="X54" s="257"/>
    </row>
    <row r="55" spans="1:24" ht="18" customHeight="1" x14ac:dyDescent="0.2">
      <c r="A55" s="237" t="s">
        <v>210</v>
      </c>
      <c r="B55" s="258" t="s">
        <v>462</v>
      </c>
      <c r="C55" s="82">
        <v>119</v>
      </c>
      <c r="D55" s="82">
        <v>128</v>
      </c>
      <c r="E55" s="240">
        <v>129</v>
      </c>
      <c r="F55" s="240">
        <v>129</v>
      </c>
      <c r="G55" s="241">
        <f t="shared" si="36"/>
        <v>0</v>
      </c>
      <c r="H55" s="79">
        <f t="shared" ref="H55:H77" si="43">IFERROR(G55/ABS(E55), "-")</f>
        <v>0</v>
      </c>
      <c r="I55" s="223"/>
      <c r="J55" s="240">
        <v>130</v>
      </c>
      <c r="K55" s="240">
        <v>130</v>
      </c>
      <c r="L55" s="241">
        <f t="shared" si="37"/>
        <v>0</v>
      </c>
      <c r="M55" s="79">
        <f t="shared" si="38"/>
        <v>0</v>
      </c>
      <c r="N55" s="223"/>
      <c r="O55" s="240">
        <v>127</v>
      </c>
      <c r="P55" s="240">
        <v>129</v>
      </c>
      <c r="Q55" s="241">
        <f t="shared" si="39"/>
        <v>2</v>
      </c>
      <c r="R55" s="79">
        <f>IFERROR(Q55/ABS(O55), "-")</f>
        <v>1.5748031496062992E-2</v>
      </c>
      <c r="S55" s="223"/>
      <c r="T55" s="240">
        <v>128</v>
      </c>
      <c r="U55" s="240">
        <v>138</v>
      </c>
      <c r="V55" s="241">
        <f t="shared" si="41"/>
        <v>10</v>
      </c>
      <c r="W55" s="79">
        <f t="shared" si="42"/>
        <v>7.8125E-2</v>
      </c>
      <c r="X55" s="223"/>
    </row>
    <row r="56" spans="1:24" x14ac:dyDescent="0.2">
      <c r="A56" s="237" t="s">
        <v>209</v>
      </c>
      <c r="B56" s="258" t="s">
        <v>463</v>
      </c>
      <c r="C56" s="82">
        <v>199</v>
      </c>
      <c r="D56" s="82">
        <v>192</v>
      </c>
      <c r="E56" s="82">
        <v>186</v>
      </c>
      <c r="F56" s="82">
        <v>186</v>
      </c>
      <c r="G56" s="83">
        <f t="shared" si="36"/>
        <v>0</v>
      </c>
      <c r="H56" s="79">
        <f t="shared" si="43"/>
        <v>0</v>
      </c>
      <c r="I56" s="223"/>
      <c r="J56" s="82">
        <v>183</v>
      </c>
      <c r="K56" s="82">
        <v>183</v>
      </c>
      <c r="L56" s="83">
        <f t="shared" si="37"/>
        <v>0</v>
      </c>
      <c r="M56" s="79">
        <f t="shared" si="38"/>
        <v>0</v>
      </c>
      <c r="N56" s="223"/>
      <c r="O56" s="82">
        <v>192</v>
      </c>
      <c r="P56" s="82">
        <v>198</v>
      </c>
      <c r="Q56" s="83">
        <f t="shared" si="39"/>
        <v>6</v>
      </c>
      <c r="R56" s="79">
        <f t="shared" si="40"/>
        <v>3.125E-2</v>
      </c>
      <c r="S56" s="223"/>
      <c r="T56" s="82">
        <v>192</v>
      </c>
      <c r="U56" s="82">
        <v>190</v>
      </c>
      <c r="V56" s="83">
        <f t="shared" si="41"/>
        <v>-2</v>
      </c>
      <c r="W56" s="79">
        <f t="shared" si="42"/>
        <v>-1.0416666666666666E-2</v>
      </c>
      <c r="X56" s="223"/>
    </row>
    <row r="57" spans="1:24" x14ac:dyDescent="0.2">
      <c r="A57" s="237" t="s">
        <v>208</v>
      </c>
      <c r="B57" s="68" t="s">
        <v>464</v>
      </c>
      <c r="C57" s="242">
        <v>46</v>
      </c>
      <c r="D57" s="242">
        <v>48</v>
      </c>
      <c r="E57" s="82">
        <v>45</v>
      </c>
      <c r="F57" s="82">
        <v>45</v>
      </c>
      <c r="G57" s="83">
        <f t="shared" si="36"/>
        <v>0</v>
      </c>
      <c r="H57" s="79">
        <f t="shared" si="43"/>
        <v>0</v>
      </c>
      <c r="I57" s="223"/>
      <c r="J57" s="82">
        <v>43</v>
      </c>
      <c r="K57" s="82">
        <v>43</v>
      </c>
      <c r="L57" s="83">
        <f t="shared" si="37"/>
        <v>0</v>
      </c>
      <c r="M57" s="79">
        <f t="shared" si="38"/>
        <v>0</v>
      </c>
      <c r="N57" s="223"/>
      <c r="O57" s="82">
        <v>48</v>
      </c>
      <c r="P57" s="82">
        <v>44</v>
      </c>
      <c r="Q57" s="83">
        <f t="shared" si="39"/>
        <v>-4</v>
      </c>
      <c r="R57" s="79">
        <f t="shared" si="40"/>
        <v>-8.3333333333333329E-2</v>
      </c>
      <c r="S57" s="223"/>
      <c r="T57" s="82">
        <v>48</v>
      </c>
      <c r="U57" s="82">
        <v>45</v>
      </c>
      <c r="V57" s="83">
        <f t="shared" si="41"/>
        <v>-3</v>
      </c>
      <c r="W57" s="79">
        <f t="shared" si="42"/>
        <v>-6.25E-2</v>
      </c>
      <c r="X57" s="223"/>
    </row>
    <row r="58" spans="1:24" ht="18" customHeight="1" x14ac:dyDescent="0.2">
      <c r="A58" s="237" t="s">
        <v>207</v>
      </c>
      <c r="B58" s="68" t="s">
        <v>465</v>
      </c>
      <c r="C58" s="242">
        <v>37</v>
      </c>
      <c r="D58" s="242">
        <v>39</v>
      </c>
      <c r="E58" s="82">
        <v>40</v>
      </c>
      <c r="F58" s="82">
        <v>40</v>
      </c>
      <c r="G58" s="83">
        <f t="shared" si="36"/>
        <v>0</v>
      </c>
      <c r="H58" s="79">
        <f t="shared" si="43"/>
        <v>0</v>
      </c>
      <c r="I58" s="223"/>
      <c r="J58" s="82">
        <v>40</v>
      </c>
      <c r="K58" s="82">
        <v>40</v>
      </c>
      <c r="L58" s="83">
        <f t="shared" si="37"/>
        <v>0</v>
      </c>
      <c r="M58" s="79">
        <f t="shared" si="38"/>
        <v>0</v>
      </c>
      <c r="N58" s="223"/>
      <c r="O58" s="82">
        <v>39</v>
      </c>
      <c r="P58" s="82">
        <v>39</v>
      </c>
      <c r="Q58" s="83">
        <f t="shared" si="39"/>
        <v>0</v>
      </c>
      <c r="R58" s="79">
        <f t="shared" si="40"/>
        <v>0</v>
      </c>
      <c r="S58" s="223"/>
      <c r="T58" s="82">
        <v>39</v>
      </c>
      <c r="U58" s="82">
        <v>40</v>
      </c>
      <c r="V58" s="83">
        <f t="shared" si="41"/>
        <v>1</v>
      </c>
      <c r="W58" s="79">
        <f t="shared" si="42"/>
        <v>2.564102564102564E-2</v>
      </c>
      <c r="X58" s="223"/>
    </row>
    <row r="59" spans="1:24" ht="18" customHeight="1" x14ac:dyDescent="0.2">
      <c r="A59" s="237" t="s">
        <v>206</v>
      </c>
      <c r="B59" s="68" t="s">
        <v>466</v>
      </c>
      <c r="C59" s="242">
        <v>204</v>
      </c>
      <c r="D59" s="242">
        <v>210</v>
      </c>
      <c r="E59" s="82">
        <v>211</v>
      </c>
      <c r="F59" s="82">
        <v>211</v>
      </c>
      <c r="G59" s="83">
        <f t="shared" si="36"/>
        <v>0</v>
      </c>
      <c r="H59" s="79">
        <f>IFERROR(G59/ABS(E59), "-")</f>
        <v>0</v>
      </c>
      <c r="I59" s="223"/>
      <c r="J59" s="82">
        <v>219</v>
      </c>
      <c r="K59" s="82">
        <v>219</v>
      </c>
      <c r="L59" s="83">
        <f t="shared" si="37"/>
        <v>0</v>
      </c>
      <c r="M59" s="79">
        <f t="shared" si="38"/>
        <v>0</v>
      </c>
      <c r="N59" s="223"/>
      <c r="O59" s="82">
        <v>209</v>
      </c>
      <c r="P59" s="82">
        <v>210</v>
      </c>
      <c r="Q59" s="83">
        <f t="shared" si="39"/>
        <v>1</v>
      </c>
      <c r="R59" s="79">
        <f t="shared" si="40"/>
        <v>4.7846889952153108E-3</v>
      </c>
      <c r="S59" s="223"/>
      <c r="T59" s="82">
        <v>210</v>
      </c>
      <c r="U59" s="82">
        <v>217</v>
      </c>
      <c r="V59" s="83">
        <f t="shared" si="41"/>
        <v>7</v>
      </c>
      <c r="W59" s="79">
        <f t="shared" si="42"/>
        <v>3.3333333333333333E-2</v>
      </c>
      <c r="X59" s="223"/>
    </row>
    <row r="60" spans="1:24" ht="18" customHeight="1" x14ac:dyDescent="0.2">
      <c r="A60" s="249" t="s">
        <v>205</v>
      </c>
      <c r="B60" s="259" t="s">
        <v>204</v>
      </c>
      <c r="C60" s="117">
        <v>1618</v>
      </c>
      <c r="D60" s="117">
        <v>1717.2</v>
      </c>
      <c r="E60" s="117">
        <f t="shared" ref="E60" si="44">IFERROR((E61*E55+E62*E56+E63*E57+E64*E58+E65*E59)/E54, "-")</f>
        <v>1592.1702127659576</v>
      </c>
      <c r="F60" s="117">
        <v>1592.1702127659576</v>
      </c>
      <c r="G60" s="120"/>
      <c r="H60" s="121">
        <f t="shared" si="43"/>
        <v>0</v>
      </c>
      <c r="I60" s="257"/>
      <c r="J60" s="117">
        <v>1719.36637398374</v>
      </c>
      <c r="K60" s="117">
        <v>1719.36637398374</v>
      </c>
      <c r="L60" s="120"/>
      <c r="M60" s="121">
        <f t="shared" si="38"/>
        <v>0</v>
      </c>
      <c r="N60" s="257"/>
      <c r="O60" s="117">
        <v>1689.4</v>
      </c>
      <c r="P60" s="117">
        <v>1718.2816919354839</v>
      </c>
      <c r="Q60" s="120">
        <f>P60-O60</f>
        <v>28.881691935483786</v>
      </c>
      <c r="R60" s="121">
        <f t="shared" si="40"/>
        <v>1.7095828066463706E-2</v>
      </c>
      <c r="S60" s="257"/>
      <c r="T60" s="117">
        <v>1717.2</v>
      </c>
      <c r="U60" s="117">
        <v>1703.1539682539683</v>
      </c>
      <c r="V60" s="553">
        <f t="shared" si="41"/>
        <v>-14.046031746031758</v>
      </c>
      <c r="W60" s="121">
        <f t="shared" si="42"/>
        <v>-8.1796131761191233E-3</v>
      </c>
      <c r="X60" s="257"/>
    </row>
    <row r="61" spans="1:24" ht="18" customHeight="1" x14ac:dyDescent="0.2">
      <c r="A61" s="237" t="s">
        <v>203</v>
      </c>
      <c r="B61" s="258" t="s">
        <v>462</v>
      </c>
      <c r="C61" s="82">
        <v>2674.99</v>
      </c>
      <c r="D61" s="82">
        <v>2738</v>
      </c>
      <c r="E61" s="240">
        <v>2524</v>
      </c>
      <c r="F61" s="240">
        <v>2524</v>
      </c>
      <c r="G61" s="83">
        <f t="shared" si="36"/>
        <v>0</v>
      </c>
      <c r="H61" s="79">
        <f t="shared" si="43"/>
        <v>0</v>
      </c>
      <c r="I61" s="223"/>
      <c r="J61" s="82">
        <v>2711.54</v>
      </c>
      <c r="K61" s="240">
        <v>2711.54</v>
      </c>
      <c r="L61" s="83">
        <f t="shared" ref="L61:L77" si="45">K61-J61</f>
        <v>0</v>
      </c>
      <c r="M61" s="79">
        <f t="shared" si="38"/>
        <v>0</v>
      </c>
      <c r="N61" s="223"/>
      <c r="O61" s="82">
        <v>2683</v>
      </c>
      <c r="P61" s="240">
        <v>2643.1350000000002</v>
      </c>
      <c r="Q61" s="83">
        <f t="shared" ref="Q61:Q77" si="46">P61-O61</f>
        <v>-39.864999999999782</v>
      </c>
      <c r="R61" s="79">
        <f t="shared" si="40"/>
        <v>-1.4858367499068126E-2</v>
      </c>
      <c r="S61" s="223"/>
      <c r="T61" s="82">
        <v>2738</v>
      </c>
      <c r="U61" s="240">
        <v>2518</v>
      </c>
      <c r="V61" s="83">
        <f t="shared" ref="V61:V77" si="47">U61-T61</f>
        <v>-220</v>
      </c>
      <c r="W61" s="79">
        <f t="shared" si="42"/>
        <v>-8.0350620891161434E-2</v>
      </c>
      <c r="X61" s="223"/>
    </row>
    <row r="62" spans="1:24" ht="18" customHeight="1" x14ac:dyDescent="0.2">
      <c r="A62" s="237" t="s">
        <v>202</v>
      </c>
      <c r="B62" s="258" t="s">
        <v>463</v>
      </c>
      <c r="C62" s="82">
        <v>1658.96</v>
      </c>
      <c r="D62" s="82">
        <v>1694</v>
      </c>
      <c r="E62" s="240">
        <v>1632</v>
      </c>
      <c r="F62" s="240">
        <v>1632</v>
      </c>
      <c r="G62" s="83">
        <f t="shared" si="36"/>
        <v>0</v>
      </c>
      <c r="H62" s="79">
        <f t="shared" si="43"/>
        <v>0</v>
      </c>
      <c r="I62" s="223"/>
      <c r="J62" s="82">
        <v>1784.18</v>
      </c>
      <c r="K62" s="240">
        <v>1784.18</v>
      </c>
      <c r="L62" s="83">
        <f t="shared" si="45"/>
        <v>0</v>
      </c>
      <c r="M62" s="79">
        <f t="shared" si="38"/>
        <v>0</v>
      </c>
      <c r="N62" s="223"/>
      <c r="O62" s="82">
        <v>1673</v>
      </c>
      <c r="P62" s="240">
        <v>1751.41</v>
      </c>
      <c r="Q62" s="83">
        <f t="shared" si="46"/>
        <v>78.410000000000082</v>
      </c>
      <c r="R62" s="79">
        <f t="shared" si="40"/>
        <v>4.6867901972504532E-2</v>
      </c>
      <c r="S62" s="223"/>
      <c r="T62" s="82">
        <v>1694</v>
      </c>
      <c r="U62" s="240">
        <v>1843</v>
      </c>
      <c r="V62" s="83">
        <f t="shared" si="47"/>
        <v>149</v>
      </c>
      <c r="W62" s="79">
        <f t="shared" si="42"/>
        <v>8.7957497048406136E-2</v>
      </c>
      <c r="X62" s="223"/>
    </row>
    <row r="63" spans="1:24" ht="18" customHeight="1" x14ac:dyDescent="0.2">
      <c r="A63" s="237" t="s">
        <v>201</v>
      </c>
      <c r="B63" s="68" t="s">
        <v>464</v>
      </c>
      <c r="C63" s="242">
        <v>963.65</v>
      </c>
      <c r="D63" s="242">
        <v>949</v>
      </c>
      <c r="E63" s="240">
        <v>947</v>
      </c>
      <c r="F63" s="240">
        <v>947</v>
      </c>
      <c r="G63" s="83">
        <f t="shared" si="36"/>
        <v>0</v>
      </c>
      <c r="H63" s="79">
        <f t="shared" si="43"/>
        <v>0</v>
      </c>
      <c r="I63" s="223"/>
      <c r="J63" s="82">
        <v>1069.4000000000001</v>
      </c>
      <c r="K63" s="240">
        <v>1069.4000000000001</v>
      </c>
      <c r="L63" s="83">
        <f t="shared" si="45"/>
        <v>0</v>
      </c>
      <c r="M63" s="79">
        <f t="shared" si="38"/>
        <v>0</v>
      </c>
      <c r="N63" s="223"/>
      <c r="O63" s="82">
        <v>940</v>
      </c>
      <c r="P63" s="240">
        <v>1068.67</v>
      </c>
      <c r="Q63" s="83">
        <f t="shared" si="46"/>
        <v>128.67000000000007</v>
      </c>
      <c r="R63" s="79">
        <f t="shared" si="40"/>
        <v>0.13688297872340432</v>
      </c>
      <c r="S63" s="223"/>
      <c r="T63" s="82">
        <v>949</v>
      </c>
      <c r="U63" s="240">
        <v>1060</v>
      </c>
      <c r="V63" s="83">
        <f t="shared" si="47"/>
        <v>111</v>
      </c>
      <c r="W63" s="79">
        <f t="shared" si="42"/>
        <v>0.11696522655426765</v>
      </c>
      <c r="X63" s="223"/>
    </row>
    <row r="64" spans="1:24" ht="18" customHeight="1" x14ac:dyDescent="0.2">
      <c r="A64" s="237" t="s">
        <v>200</v>
      </c>
      <c r="B64" s="68" t="s">
        <v>465</v>
      </c>
      <c r="C64" s="242">
        <v>2086.4499999999998</v>
      </c>
      <c r="D64" s="242">
        <v>2160</v>
      </c>
      <c r="E64" s="240">
        <v>2130</v>
      </c>
      <c r="F64" s="240">
        <v>2130</v>
      </c>
      <c r="G64" s="83">
        <f t="shared" si="36"/>
        <v>0</v>
      </c>
      <c r="H64" s="79">
        <f t="shared" si="43"/>
        <v>0</v>
      </c>
      <c r="I64" s="223"/>
      <c r="J64" s="82">
        <v>2234.2600000000002</v>
      </c>
      <c r="K64" s="240">
        <v>2234.2600000000002</v>
      </c>
      <c r="L64" s="83">
        <f t="shared" si="45"/>
        <v>0</v>
      </c>
      <c r="M64" s="79">
        <f t="shared" si="38"/>
        <v>0</v>
      </c>
      <c r="N64" s="223"/>
      <c r="O64" s="82">
        <v>2133</v>
      </c>
      <c r="P64" s="240">
        <v>2341.7359999999999</v>
      </c>
      <c r="Q64" s="83">
        <f t="shared" si="46"/>
        <v>208.73599999999988</v>
      </c>
      <c r="R64" s="79">
        <f t="shared" si="40"/>
        <v>9.7860290670417197E-2</v>
      </c>
      <c r="S64" s="223"/>
      <c r="T64" s="82">
        <v>2160</v>
      </c>
      <c r="U64" s="240">
        <v>2283</v>
      </c>
      <c r="V64" s="83">
        <f t="shared" si="47"/>
        <v>123</v>
      </c>
      <c r="W64" s="79">
        <f t="shared" si="42"/>
        <v>5.6944444444444443E-2</v>
      </c>
      <c r="X64" s="223"/>
    </row>
    <row r="65" spans="1:24" ht="18" customHeight="1" x14ac:dyDescent="0.2">
      <c r="A65" s="237" t="s">
        <v>199</v>
      </c>
      <c r="B65" s="68" t="s">
        <v>466</v>
      </c>
      <c r="C65" s="242">
        <v>1014.55</v>
      </c>
      <c r="D65" s="242">
        <v>1045</v>
      </c>
      <c r="E65" s="240">
        <v>1023</v>
      </c>
      <c r="F65" s="240">
        <v>1023</v>
      </c>
      <c r="G65" s="83">
        <f t="shared" si="36"/>
        <v>0</v>
      </c>
      <c r="H65" s="79">
        <f t="shared" si="43"/>
        <v>0</v>
      </c>
      <c r="I65" s="223"/>
      <c r="J65" s="82">
        <v>1109.82</v>
      </c>
      <c r="K65" s="240">
        <v>1109.82</v>
      </c>
      <c r="L65" s="83">
        <f t="shared" si="45"/>
        <v>0</v>
      </c>
      <c r="M65" s="79">
        <f t="shared" si="38"/>
        <v>0</v>
      </c>
      <c r="N65" s="223"/>
      <c r="O65" s="82">
        <v>1018</v>
      </c>
      <c r="P65" s="240">
        <v>1139.2470000000001</v>
      </c>
      <c r="Q65" s="83">
        <f t="shared" si="46"/>
        <v>121.24700000000007</v>
      </c>
      <c r="R65" s="79">
        <f t="shared" si="40"/>
        <v>0.11910314341846766</v>
      </c>
      <c r="S65" s="223"/>
      <c r="T65" s="82">
        <v>1045</v>
      </c>
      <c r="U65" s="240">
        <v>1089</v>
      </c>
      <c r="V65" s="83">
        <f t="shared" si="47"/>
        <v>44</v>
      </c>
      <c r="W65" s="79">
        <f t="shared" si="42"/>
        <v>4.2105263157894736E-2</v>
      </c>
      <c r="X65" s="223"/>
    </row>
    <row r="66" spans="1:24" ht="18" customHeight="1" x14ac:dyDescent="0.2">
      <c r="A66" s="249" t="s">
        <v>198</v>
      </c>
      <c r="B66" s="127" t="s">
        <v>197</v>
      </c>
      <c r="C66" s="117">
        <v>589</v>
      </c>
      <c r="D66" s="117">
        <v>602</v>
      </c>
      <c r="E66" s="117">
        <f t="shared" ref="E66" si="48">SUM(E67:E71)</f>
        <v>603</v>
      </c>
      <c r="F66" s="117">
        <v>603</v>
      </c>
      <c r="G66" s="120">
        <f t="shared" si="36"/>
        <v>0</v>
      </c>
      <c r="H66" s="121">
        <f t="shared" si="43"/>
        <v>0</v>
      </c>
      <c r="I66" s="257"/>
      <c r="J66" s="117">
        <v>602</v>
      </c>
      <c r="K66" s="117">
        <v>602</v>
      </c>
      <c r="L66" s="120">
        <f t="shared" si="45"/>
        <v>0</v>
      </c>
      <c r="M66" s="121">
        <f t="shared" si="38"/>
        <v>0</v>
      </c>
      <c r="N66" s="257"/>
      <c r="O66" s="117">
        <v>600</v>
      </c>
      <c r="P66" s="117">
        <v>623</v>
      </c>
      <c r="Q66" s="120">
        <f t="shared" si="46"/>
        <v>23</v>
      </c>
      <c r="R66" s="121">
        <f t="shared" si="40"/>
        <v>3.833333333333333E-2</v>
      </c>
      <c r="S66" s="257"/>
      <c r="T66" s="117">
        <v>602</v>
      </c>
      <c r="U66" s="117">
        <v>630</v>
      </c>
      <c r="V66" s="120">
        <f t="shared" si="47"/>
        <v>28</v>
      </c>
      <c r="W66" s="121">
        <f t="shared" si="42"/>
        <v>4.6511627906976744E-2</v>
      </c>
      <c r="X66" s="257"/>
    </row>
    <row r="67" spans="1:24" ht="18" customHeight="1" x14ac:dyDescent="0.2">
      <c r="A67" s="237" t="s">
        <v>196</v>
      </c>
      <c r="B67" s="258" t="s">
        <v>462</v>
      </c>
      <c r="C67" s="82">
        <v>115</v>
      </c>
      <c r="D67" s="82">
        <v>128</v>
      </c>
      <c r="E67" s="240">
        <v>126</v>
      </c>
      <c r="F67" s="240">
        <v>126</v>
      </c>
      <c r="G67" s="241">
        <f t="shared" si="36"/>
        <v>0</v>
      </c>
      <c r="H67" s="79">
        <f t="shared" si="43"/>
        <v>0</v>
      </c>
      <c r="I67" s="223"/>
      <c r="J67" s="240">
        <v>126</v>
      </c>
      <c r="K67" s="240">
        <v>126</v>
      </c>
      <c r="L67" s="241">
        <f t="shared" si="45"/>
        <v>0</v>
      </c>
      <c r="M67" s="79">
        <f t="shared" si="38"/>
        <v>0</v>
      </c>
      <c r="N67" s="223"/>
      <c r="O67" s="240">
        <v>127</v>
      </c>
      <c r="P67" s="240">
        <v>133</v>
      </c>
      <c r="Q67" s="241">
        <f t="shared" si="46"/>
        <v>6</v>
      </c>
      <c r="R67" s="79">
        <f t="shared" si="40"/>
        <v>4.7244094488188976E-2</v>
      </c>
      <c r="S67" s="223"/>
      <c r="T67" s="240">
        <v>128</v>
      </c>
      <c r="U67" s="240">
        <v>136</v>
      </c>
      <c r="V67" s="241">
        <f t="shared" si="47"/>
        <v>8</v>
      </c>
      <c r="W67" s="79">
        <f t="shared" si="42"/>
        <v>6.25E-2</v>
      </c>
      <c r="X67" s="223"/>
    </row>
    <row r="68" spans="1:24" ht="18" customHeight="1" x14ac:dyDescent="0.2">
      <c r="A68" s="237" t="s">
        <v>195</v>
      </c>
      <c r="B68" s="258" t="s">
        <v>463</v>
      </c>
      <c r="C68" s="82">
        <v>184</v>
      </c>
      <c r="D68" s="82">
        <v>178</v>
      </c>
      <c r="E68" s="82">
        <v>169</v>
      </c>
      <c r="F68" s="82">
        <v>169</v>
      </c>
      <c r="G68" s="83">
        <f t="shared" si="36"/>
        <v>0</v>
      </c>
      <c r="H68" s="79">
        <f t="shared" si="43"/>
        <v>0</v>
      </c>
      <c r="I68" s="223"/>
      <c r="J68" s="82">
        <v>169</v>
      </c>
      <c r="K68" s="82">
        <v>169</v>
      </c>
      <c r="L68" s="83">
        <f t="shared" si="45"/>
        <v>0</v>
      </c>
      <c r="M68" s="79">
        <f t="shared" si="38"/>
        <v>0</v>
      </c>
      <c r="N68" s="223"/>
      <c r="O68" s="82">
        <v>178</v>
      </c>
      <c r="P68" s="82">
        <v>186</v>
      </c>
      <c r="Q68" s="83">
        <f t="shared" si="46"/>
        <v>8</v>
      </c>
      <c r="R68" s="79">
        <f t="shared" si="40"/>
        <v>4.49438202247191E-2</v>
      </c>
      <c r="S68" s="223"/>
      <c r="T68" s="82">
        <v>178</v>
      </c>
      <c r="U68" s="82">
        <v>185</v>
      </c>
      <c r="V68" s="83">
        <f t="shared" si="47"/>
        <v>7</v>
      </c>
      <c r="W68" s="79">
        <f t="shared" si="42"/>
        <v>3.9325842696629212E-2</v>
      </c>
      <c r="X68" s="223"/>
    </row>
    <row r="69" spans="1:24" ht="18" customHeight="1" x14ac:dyDescent="0.2">
      <c r="A69" s="237" t="s">
        <v>194</v>
      </c>
      <c r="B69" s="68" t="s">
        <v>464</v>
      </c>
      <c r="C69" s="242">
        <v>44</v>
      </c>
      <c r="D69" s="242">
        <v>47</v>
      </c>
      <c r="E69" s="82">
        <v>44</v>
      </c>
      <c r="F69" s="82">
        <v>44</v>
      </c>
      <c r="G69" s="83">
        <f t="shared" si="36"/>
        <v>0</v>
      </c>
      <c r="H69" s="79">
        <f>IFERROR(G69/ABS(E69), "-")</f>
        <v>0</v>
      </c>
      <c r="I69" s="223"/>
      <c r="J69" s="82">
        <v>41</v>
      </c>
      <c r="K69" s="82">
        <v>41</v>
      </c>
      <c r="L69" s="83">
        <f t="shared" si="45"/>
        <v>0</v>
      </c>
      <c r="M69" s="79">
        <f t="shared" si="38"/>
        <v>0</v>
      </c>
      <c r="N69" s="223"/>
      <c r="O69" s="82">
        <v>47</v>
      </c>
      <c r="P69" s="82">
        <v>45</v>
      </c>
      <c r="Q69" s="83">
        <f t="shared" si="46"/>
        <v>-2</v>
      </c>
      <c r="R69" s="79">
        <f t="shared" si="40"/>
        <v>-4.2553191489361701E-2</v>
      </c>
      <c r="S69" s="223"/>
      <c r="T69" s="82">
        <v>47</v>
      </c>
      <c r="U69" s="82">
        <v>44</v>
      </c>
      <c r="V69" s="83">
        <f t="shared" si="47"/>
        <v>-3</v>
      </c>
      <c r="W69" s="79">
        <f t="shared" si="42"/>
        <v>-6.3829787234042548E-2</v>
      </c>
      <c r="X69" s="223"/>
    </row>
    <row r="70" spans="1:24" ht="18" customHeight="1" x14ac:dyDescent="0.2">
      <c r="A70" s="237" t="s">
        <v>193</v>
      </c>
      <c r="B70" s="68" t="s">
        <v>465</v>
      </c>
      <c r="C70" s="242">
        <v>35</v>
      </c>
      <c r="D70" s="242">
        <v>38</v>
      </c>
      <c r="E70" s="82">
        <v>40</v>
      </c>
      <c r="F70" s="82">
        <v>40</v>
      </c>
      <c r="G70" s="83">
        <f t="shared" si="36"/>
        <v>0</v>
      </c>
      <c r="H70" s="79">
        <f>IFERROR(G70/ABS(E70), "-")</f>
        <v>0</v>
      </c>
      <c r="I70" s="223"/>
      <c r="J70" s="82">
        <v>40</v>
      </c>
      <c r="K70" s="82">
        <v>40</v>
      </c>
      <c r="L70" s="83">
        <f t="shared" si="45"/>
        <v>0</v>
      </c>
      <c r="M70" s="79">
        <f t="shared" si="38"/>
        <v>0</v>
      </c>
      <c r="N70" s="223"/>
      <c r="O70" s="82">
        <v>39</v>
      </c>
      <c r="P70" s="82">
        <v>39</v>
      </c>
      <c r="Q70" s="83">
        <f t="shared" si="46"/>
        <v>0</v>
      </c>
      <c r="R70" s="79">
        <f t="shared" si="40"/>
        <v>0</v>
      </c>
      <c r="S70" s="223"/>
      <c r="T70" s="82">
        <v>38</v>
      </c>
      <c r="U70" s="82">
        <v>39</v>
      </c>
      <c r="V70" s="83">
        <f t="shared" si="47"/>
        <v>1</v>
      </c>
      <c r="W70" s="79">
        <f t="shared" si="42"/>
        <v>2.6315789473684209E-2</v>
      </c>
      <c r="X70" s="223"/>
    </row>
    <row r="71" spans="1:24" ht="18" customHeight="1" x14ac:dyDescent="0.2">
      <c r="A71" s="237" t="s">
        <v>192</v>
      </c>
      <c r="B71" s="68" t="s">
        <v>466</v>
      </c>
      <c r="C71" s="242">
        <v>210</v>
      </c>
      <c r="D71" s="242">
        <v>211</v>
      </c>
      <c r="E71" s="82">
        <v>224</v>
      </c>
      <c r="F71" s="82">
        <v>224</v>
      </c>
      <c r="G71" s="83">
        <f t="shared" si="36"/>
        <v>0</v>
      </c>
      <c r="H71" s="79">
        <f t="shared" si="43"/>
        <v>0</v>
      </c>
      <c r="I71" s="223"/>
      <c r="J71" s="82">
        <v>226</v>
      </c>
      <c r="K71" s="82">
        <v>226</v>
      </c>
      <c r="L71" s="83">
        <f t="shared" si="45"/>
        <v>0</v>
      </c>
      <c r="M71" s="79">
        <f t="shared" si="38"/>
        <v>0</v>
      </c>
      <c r="N71" s="223"/>
      <c r="O71" s="82">
        <v>209</v>
      </c>
      <c r="P71" s="82">
        <v>220</v>
      </c>
      <c r="Q71" s="83">
        <f t="shared" si="46"/>
        <v>11</v>
      </c>
      <c r="R71" s="79">
        <f t="shared" si="40"/>
        <v>5.2631578947368418E-2</v>
      </c>
      <c r="S71" s="223"/>
      <c r="T71" s="82">
        <v>211</v>
      </c>
      <c r="U71" s="82">
        <v>226</v>
      </c>
      <c r="V71" s="83">
        <f t="shared" si="47"/>
        <v>15</v>
      </c>
      <c r="W71" s="79">
        <f t="shared" si="42"/>
        <v>7.1090047393364927E-2</v>
      </c>
      <c r="X71" s="223"/>
    </row>
    <row r="72" spans="1:24" ht="18" customHeight="1" x14ac:dyDescent="0.2">
      <c r="A72" s="249" t="s">
        <v>191</v>
      </c>
      <c r="B72" s="127" t="s">
        <v>467</v>
      </c>
      <c r="C72" s="117">
        <v>1658.66</v>
      </c>
      <c r="D72" s="117">
        <v>1745.2</v>
      </c>
      <c r="E72" s="117">
        <f t="shared" ref="E72" si="49">IFERROR((E73*E67+E74*E68+E75*E69+E76*E70+E77*E71)/E66, "-")</f>
        <v>1613.6799336650083</v>
      </c>
      <c r="F72" s="117">
        <v>1613.6799336650083</v>
      </c>
      <c r="G72" s="120"/>
      <c r="H72" s="121">
        <f t="shared" si="43"/>
        <v>0</v>
      </c>
      <c r="I72" s="257"/>
      <c r="J72" s="117">
        <v>1750.4002657807309</v>
      </c>
      <c r="K72" s="117">
        <v>1750.4002657807309</v>
      </c>
      <c r="L72" s="120"/>
      <c r="M72" s="121">
        <f t="shared" si="38"/>
        <v>0</v>
      </c>
      <c r="N72" s="257"/>
      <c r="O72" s="117">
        <v>1702</v>
      </c>
      <c r="P72" s="117">
        <v>1710.0089390048156</v>
      </c>
      <c r="Q72" s="120">
        <f>P72-O72</f>
        <v>8.0089390048156019</v>
      </c>
      <c r="R72" s="121">
        <f t="shared" si="40"/>
        <v>4.705604585673092E-3</v>
      </c>
      <c r="S72" s="257"/>
      <c r="T72" s="117">
        <v>1745.2</v>
      </c>
      <c r="U72" s="117">
        <v>1703.804761904762</v>
      </c>
      <c r="V72" s="553">
        <f t="shared" si="47"/>
        <v>-41.395238095238028</v>
      </c>
      <c r="W72" s="121">
        <f t="shared" si="42"/>
        <v>-2.3719480916363757E-2</v>
      </c>
      <c r="X72" s="257"/>
    </row>
    <row r="73" spans="1:24" ht="18" customHeight="1" x14ac:dyDescent="0.2">
      <c r="A73" s="237" t="s">
        <v>190</v>
      </c>
      <c r="B73" s="258" t="s">
        <v>462</v>
      </c>
      <c r="C73" s="82">
        <v>2868.03</v>
      </c>
      <c r="D73" s="82">
        <v>2753</v>
      </c>
      <c r="E73" s="240">
        <v>2584</v>
      </c>
      <c r="F73" s="240">
        <v>2584</v>
      </c>
      <c r="G73" s="241">
        <f t="shared" si="36"/>
        <v>0</v>
      </c>
      <c r="H73" s="79">
        <f t="shared" si="43"/>
        <v>0</v>
      </c>
      <c r="I73" s="223"/>
      <c r="J73" s="240">
        <v>2797.63</v>
      </c>
      <c r="K73" s="240">
        <v>2797.63</v>
      </c>
      <c r="L73" s="241">
        <f t="shared" si="45"/>
        <v>0</v>
      </c>
      <c r="M73" s="79">
        <f t="shared" si="38"/>
        <v>0</v>
      </c>
      <c r="N73" s="223"/>
      <c r="O73" s="240">
        <v>2670</v>
      </c>
      <c r="P73" s="240">
        <v>2563.64</v>
      </c>
      <c r="Q73" s="241">
        <f t="shared" si="46"/>
        <v>-106.36000000000013</v>
      </c>
      <c r="R73" s="79">
        <f t="shared" si="40"/>
        <v>-3.9835205992509413E-2</v>
      </c>
      <c r="S73" s="223"/>
      <c r="T73" s="240">
        <v>2753</v>
      </c>
      <c r="U73" s="240">
        <v>2556</v>
      </c>
      <c r="V73" s="241">
        <f t="shared" si="47"/>
        <v>-197</v>
      </c>
      <c r="W73" s="79">
        <f t="shared" si="42"/>
        <v>-7.1558300036324005E-2</v>
      </c>
      <c r="X73" s="223"/>
    </row>
    <row r="74" spans="1:24" ht="18" customHeight="1" x14ac:dyDescent="0.2">
      <c r="A74" s="237" t="s">
        <v>189</v>
      </c>
      <c r="B74" s="258" t="s">
        <v>463</v>
      </c>
      <c r="C74" s="82">
        <v>1794.2</v>
      </c>
      <c r="D74" s="82">
        <v>1773</v>
      </c>
      <c r="E74" s="82">
        <v>1797</v>
      </c>
      <c r="F74" s="82">
        <v>1797</v>
      </c>
      <c r="G74" s="83">
        <f t="shared" si="36"/>
        <v>0</v>
      </c>
      <c r="H74" s="79">
        <f t="shared" si="43"/>
        <v>0</v>
      </c>
      <c r="I74" s="223"/>
      <c r="J74" s="82">
        <v>1910.33</v>
      </c>
      <c r="K74" s="82">
        <v>1910.33</v>
      </c>
      <c r="L74" s="83">
        <f t="shared" si="45"/>
        <v>0</v>
      </c>
      <c r="M74" s="79">
        <f t="shared" si="38"/>
        <v>0</v>
      </c>
      <c r="N74" s="223"/>
      <c r="O74" s="82">
        <v>1733</v>
      </c>
      <c r="P74" s="82">
        <v>1864.41</v>
      </c>
      <c r="Q74" s="83">
        <f t="shared" si="46"/>
        <v>131.41000000000008</v>
      </c>
      <c r="R74" s="79">
        <f t="shared" si="40"/>
        <v>7.5828043854587468E-2</v>
      </c>
      <c r="S74" s="223"/>
      <c r="T74" s="82">
        <v>1773</v>
      </c>
      <c r="U74" s="82">
        <v>1894</v>
      </c>
      <c r="V74" s="83">
        <f t="shared" si="47"/>
        <v>121</v>
      </c>
      <c r="W74" s="79">
        <f t="shared" si="42"/>
        <v>6.8245910885504787E-2</v>
      </c>
      <c r="X74" s="223"/>
    </row>
    <row r="75" spans="1:24" ht="18" customHeight="1" x14ac:dyDescent="0.2">
      <c r="A75" s="237" t="s">
        <v>188</v>
      </c>
      <c r="B75" s="68" t="s">
        <v>464</v>
      </c>
      <c r="C75" s="242">
        <v>1007.45</v>
      </c>
      <c r="D75" s="242">
        <v>965</v>
      </c>
      <c r="E75" s="82">
        <v>969</v>
      </c>
      <c r="F75" s="82">
        <v>969</v>
      </c>
      <c r="G75" s="83">
        <f t="shared" si="36"/>
        <v>0</v>
      </c>
      <c r="H75" s="79">
        <f t="shared" si="43"/>
        <v>0</v>
      </c>
      <c r="I75" s="223"/>
      <c r="J75" s="82">
        <v>1121.57</v>
      </c>
      <c r="K75" s="82">
        <v>1121.57</v>
      </c>
      <c r="L75" s="83">
        <f t="shared" si="45"/>
        <v>0</v>
      </c>
      <c r="M75" s="79">
        <f t="shared" si="38"/>
        <v>0</v>
      </c>
      <c r="N75" s="223"/>
      <c r="O75" s="82">
        <v>947</v>
      </c>
      <c r="P75" s="82">
        <v>1044.925</v>
      </c>
      <c r="Q75" s="83">
        <f t="shared" si="46"/>
        <v>97.924999999999955</v>
      </c>
      <c r="R75" s="79">
        <f t="shared" si="40"/>
        <v>0.10340549102428717</v>
      </c>
      <c r="S75" s="223"/>
      <c r="T75" s="82">
        <v>965</v>
      </c>
      <c r="U75" s="82">
        <v>1084</v>
      </c>
      <c r="V75" s="83">
        <f t="shared" si="47"/>
        <v>119</v>
      </c>
      <c r="W75" s="79">
        <f t="shared" si="42"/>
        <v>0.12331606217616581</v>
      </c>
      <c r="X75" s="223"/>
    </row>
    <row r="76" spans="1:24" ht="18" customHeight="1" x14ac:dyDescent="0.2">
      <c r="A76" s="237" t="s">
        <v>187</v>
      </c>
      <c r="B76" s="68" t="s">
        <v>465</v>
      </c>
      <c r="C76" s="242">
        <v>2205.6799999999998</v>
      </c>
      <c r="D76" s="242">
        <v>2206</v>
      </c>
      <c r="E76" s="82">
        <v>2130</v>
      </c>
      <c r="F76" s="82">
        <v>2130</v>
      </c>
      <c r="G76" s="83">
        <f t="shared" si="36"/>
        <v>0</v>
      </c>
      <c r="H76" s="79">
        <f t="shared" si="43"/>
        <v>0</v>
      </c>
      <c r="I76" s="223"/>
      <c r="J76" s="82">
        <v>2234</v>
      </c>
      <c r="K76" s="82">
        <v>2234</v>
      </c>
      <c r="L76" s="83">
        <f t="shared" si="45"/>
        <v>0</v>
      </c>
      <c r="M76" s="79">
        <f t="shared" si="38"/>
        <v>0</v>
      </c>
      <c r="N76" s="223"/>
      <c r="O76" s="82">
        <v>2153</v>
      </c>
      <c r="P76" s="82">
        <v>2341.7359999999999</v>
      </c>
      <c r="Q76" s="83">
        <f t="shared" si="46"/>
        <v>188.73599999999988</v>
      </c>
      <c r="R76" s="79">
        <f t="shared" si="40"/>
        <v>8.7661867162099338E-2</v>
      </c>
      <c r="S76" s="223"/>
      <c r="T76" s="82">
        <v>2206</v>
      </c>
      <c r="U76" s="82">
        <v>2341</v>
      </c>
      <c r="V76" s="83">
        <f t="shared" si="47"/>
        <v>135</v>
      </c>
      <c r="W76" s="79">
        <f t="shared" si="42"/>
        <v>6.1196736174070718E-2</v>
      </c>
      <c r="X76" s="223"/>
    </row>
    <row r="77" spans="1:24" ht="18" customHeight="1" x14ac:dyDescent="0.2">
      <c r="A77" s="237" t="s">
        <v>186</v>
      </c>
      <c r="B77" s="68" t="s">
        <v>466</v>
      </c>
      <c r="C77" s="242">
        <v>985.56</v>
      </c>
      <c r="D77" s="242">
        <v>1029</v>
      </c>
      <c r="E77" s="82">
        <v>964</v>
      </c>
      <c r="F77" s="82">
        <v>964</v>
      </c>
      <c r="G77" s="83">
        <f t="shared" si="36"/>
        <v>0</v>
      </c>
      <c r="H77" s="79">
        <f t="shared" si="43"/>
        <v>0</v>
      </c>
      <c r="I77" s="223"/>
      <c r="J77" s="82">
        <v>1075.44</v>
      </c>
      <c r="K77" s="82">
        <v>1075.44</v>
      </c>
      <c r="L77" s="83">
        <f t="shared" si="45"/>
        <v>0</v>
      </c>
      <c r="M77" s="79">
        <f t="shared" si="38"/>
        <v>0</v>
      </c>
      <c r="N77" s="223"/>
      <c r="O77" s="82">
        <v>1007</v>
      </c>
      <c r="P77" s="82">
        <v>1087.463</v>
      </c>
      <c r="Q77" s="83">
        <f t="shared" si="46"/>
        <v>80.462999999999965</v>
      </c>
      <c r="R77" s="79">
        <f t="shared" si="40"/>
        <v>7.9903674280039694E-2</v>
      </c>
      <c r="S77" s="223"/>
      <c r="T77" s="82">
        <v>1029</v>
      </c>
      <c r="U77" s="82">
        <v>1046</v>
      </c>
      <c r="V77" s="83">
        <f t="shared" si="47"/>
        <v>17</v>
      </c>
      <c r="W77" s="79">
        <f t="shared" si="42"/>
        <v>1.6520894071914479E-2</v>
      </c>
      <c r="X77" s="223"/>
    </row>
    <row r="78" spans="1:24" ht="18" customHeight="1" x14ac:dyDescent="0.2">
      <c r="A78" s="249" t="s">
        <v>384</v>
      </c>
      <c r="B78" s="122" t="s">
        <v>385</v>
      </c>
      <c r="C78" s="260" t="s">
        <v>183</v>
      </c>
      <c r="D78" s="260" t="s">
        <v>183</v>
      </c>
      <c r="E78" s="260" t="s">
        <v>183</v>
      </c>
      <c r="F78" s="219" t="s">
        <v>183</v>
      </c>
      <c r="G78" s="219" t="s">
        <v>183</v>
      </c>
      <c r="H78" s="236" t="s">
        <v>183</v>
      </c>
      <c r="I78" s="236" t="s">
        <v>183</v>
      </c>
      <c r="J78" s="235" t="s">
        <v>183</v>
      </c>
      <c r="K78" s="219" t="s">
        <v>183</v>
      </c>
      <c r="L78" s="219" t="s">
        <v>183</v>
      </c>
      <c r="M78" s="236" t="s">
        <v>183</v>
      </c>
      <c r="N78" s="236" t="s">
        <v>183</v>
      </c>
      <c r="O78" s="235"/>
      <c r="P78" s="219" t="s">
        <v>183</v>
      </c>
      <c r="Q78" s="219" t="s">
        <v>183</v>
      </c>
      <c r="R78" s="236" t="s">
        <v>183</v>
      </c>
      <c r="S78" s="236" t="s">
        <v>183</v>
      </c>
      <c r="T78" s="235"/>
      <c r="U78" s="219" t="s">
        <v>183</v>
      </c>
      <c r="V78" s="219" t="s">
        <v>183</v>
      </c>
      <c r="W78" s="236" t="s">
        <v>183</v>
      </c>
      <c r="X78" s="236" t="s">
        <v>183</v>
      </c>
    </row>
    <row r="79" spans="1:24" ht="18" customHeight="1" x14ac:dyDescent="0.2">
      <c r="A79" s="237" t="s">
        <v>386</v>
      </c>
      <c r="B79" s="68" t="s">
        <v>387</v>
      </c>
      <c r="C79" s="261">
        <v>15</v>
      </c>
      <c r="D79" s="261">
        <v>13</v>
      </c>
      <c r="E79" s="82">
        <v>3</v>
      </c>
      <c r="F79" s="82"/>
      <c r="G79" s="83">
        <f t="shared" ref="G79:G82" si="50">F79-E79</f>
        <v>-3</v>
      </c>
      <c r="H79" s="255">
        <f t="shared" ref="H79:H82" si="51">IFERROR(G79/ABS(E79), "-")</f>
        <v>-1</v>
      </c>
      <c r="I79" s="223"/>
      <c r="J79" s="262">
        <v>7</v>
      </c>
      <c r="K79" s="82">
        <v>7</v>
      </c>
      <c r="L79" s="83">
        <f t="shared" ref="L79:L82" si="52">K79-J79</f>
        <v>0</v>
      </c>
      <c r="M79" s="255">
        <f t="shared" ref="M79:M82" si="53">IFERROR(L79/ABS(J79), "-")</f>
        <v>0</v>
      </c>
      <c r="N79" s="223"/>
      <c r="O79" s="262">
        <v>12</v>
      </c>
      <c r="P79" s="82">
        <v>12</v>
      </c>
      <c r="Q79" s="83">
        <f t="shared" ref="Q79:Q82" si="54">P79-O79</f>
        <v>0</v>
      </c>
      <c r="R79" s="255">
        <f t="shared" ref="R79:R82" si="55">IFERROR(Q79/ABS(O79), "-")</f>
        <v>0</v>
      </c>
      <c r="S79" s="223"/>
      <c r="T79" s="262">
        <v>13</v>
      </c>
      <c r="U79" s="82">
        <v>12</v>
      </c>
      <c r="V79" s="83">
        <f t="shared" ref="V79:V82" si="56">U79-T79</f>
        <v>-1</v>
      </c>
      <c r="W79" s="255">
        <f t="shared" ref="W79:W82" si="57">IFERROR(V79/ABS(T79), "-")</f>
        <v>-7.6923076923076927E-2</v>
      </c>
      <c r="X79" s="223"/>
    </row>
    <row r="80" spans="1:24" ht="50.1" customHeight="1" x14ac:dyDescent="0.2">
      <c r="A80" s="237" t="s">
        <v>388</v>
      </c>
      <c r="B80" s="68" t="s">
        <v>389</v>
      </c>
      <c r="C80" s="261">
        <v>32</v>
      </c>
      <c r="D80" s="261">
        <v>29</v>
      </c>
      <c r="E80" s="82">
        <v>30.99</v>
      </c>
      <c r="F80" s="82"/>
      <c r="G80" s="83">
        <f t="shared" si="50"/>
        <v>-30.99</v>
      </c>
      <c r="H80" s="255">
        <f t="shared" si="51"/>
        <v>-1</v>
      </c>
      <c r="I80" s="223"/>
      <c r="J80" s="262">
        <v>30</v>
      </c>
      <c r="K80" s="82">
        <v>30</v>
      </c>
      <c r="L80" s="83">
        <f t="shared" si="52"/>
        <v>0</v>
      </c>
      <c r="M80" s="255">
        <f t="shared" si="53"/>
        <v>0</v>
      </c>
      <c r="N80" s="223"/>
      <c r="O80" s="262">
        <v>31</v>
      </c>
      <c r="P80" s="82">
        <v>32.369999999999997</v>
      </c>
      <c r="Q80" s="83">
        <f t="shared" si="54"/>
        <v>1.3699999999999974</v>
      </c>
      <c r="R80" s="255">
        <f t="shared" si="55"/>
        <v>4.4193548387096694E-2</v>
      </c>
      <c r="S80" s="223"/>
      <c r="T80" s="262">
        <v>29</v>
      </c>
      <c r="U80" s="82">
        <v>30.74</v>
      </c>
      <c r="V80" s="83">
        <f t="shared" si="56"/>
        <v>1.7399999999999984</v>
      </c>
      <c r="W80" s="255">
        <f t="shared" si="57"/>
        <v>5.9999999999999949E-2</v>
      </c>
      <c r="X80" s="223"/>
    </row>
    <row r="81" spans="1:24" ht="36" customHeight="1" x14ac:dyDescent="0.2">
      <c r="A81" s="237" t="s">
        <v>390</v>
      </c>
      <c r="B81" s="68" t="s">
        <v>400</v>
      </c>
      <c r="C81" s="261">
        <v>23</v>
      </c>
      <c r="D81" s="261">
        <v>22</v>
      </c>
      <c r="E81" s="82">
        <v>23</v>
      </c>
      <c r="F81" s="82"/>
      <c r="G81" s="83">
        <f t="shared" si="50"/>
        <v>-23</v>
      </c>
      <c r="H81" s="255">
        <f t="shared" si="51"/>
        <v>-1</v>
      </c>
      <c r="I81" s="223"/>
      <c r="J81" s="262">
        <v>23</v>
      </c>
      <c r="K81" s="82">
        <v>23</v>
      </c>
      <c r="L81" s="83">
        <f t="shared" si="52"/>
        <v>0</v>
      </c>
      <c r="M81" s="255">
        <f t="shared" si="53"/>
        <v>0</v>
      </c>
      <c r="N81" s="223"/>
      <c r="O81" s="262">
        <v>22</v>
      </c>
      <c r="P81" s="82">
        <v>22</v>
      </c>
      <c r="Q81" s="83">
        <f t="shared" si="54"/>
        <v>0</v>
      </c>
      <c r="R81" s="255">
        <f t="shared" si="55"/>
        <v>0</v>
      </c>
      <c r="S81" s="223"/>
      <c r="T81" s="262">
        <v>22</v>
      </c>
      <c r="U81" s="82">
        <v>22</v>
      </c>
      <c r="V81" s="83">
        <f t="shared" si="56"/>
        <v>0</v>
      </c>
      <c r="W81" s="255">
        <f t="shared" si="57"/>
        <v>0</v>
      </c>
      <c r="X81" s="223"/>
    </row>
    <row r="82" spans="1:24" ht="34.5" customHeight="1" x14ac:dyDescent="0.2">
      <c r="A82" s="237" t="s">
        <v>391</v>
      </c>
      <c r="B82" s="68" t="s">
        <v>392</v>
      </c>
      <c r="C82" s="261">
        <v>40</v>
      </c>
      <c r="D82" s="261">
        <v>40</v>
      </c>
      <c r="E82" s="82">
        <v>40</v>
      </c>
      <c r="F82" s="82"/>
      <c r="G82" s="83">
        <f t="shared" si="50"/>
        <v>-40</v>
      </c>
      <c r="H82" s="255">
        <f t="shared" si="51"/>
        <v>-1</v>
      </c>
      <c r="I82" s="223"/>
      <c r="J82" s="262">
        <v>41</v>
      </c>
      <c r="K82" s="82">
        <v>41</v>
      </c>
      <c r="L82" s="83">
        <f t="shared" si="52"/>
        <v>0</v>
      </c>
      <c r="M82" s="255">
        <f t="shared" si="53"/>
        <v>0</v>
      </c>
      <c r="N82" s="223"/>
      <c r="O82" s="262">
        <v>40</v>
      </c>
      <c r="P82" s="82">
        <v>40</v>
      </c>
      <c r="Q82" s="83">
        <f t="shared" si="54"/>
        <v>0</v>
      </c>
      <c r="R82" s="255">
        <f t="shared" si="55"/>
        <v>0</v>
      </c>
      <c r="S82" s="223"/>
      <c r="T82" s="262">
        <v>40</v>
      </c>
      <c r="U82" s="82">
        <v>40</v>
      </c>
      <c r="V82" s="83">
        <f t="shared" si="56"/>
        <v>0</v>
      </c>
      <c r="W82" s="255">
        <f t="shared" si="57"/>
        <v>0</v>
      </c>
      <c r="X82" s="223"/>
    </row>
    <row r="83" spans="1:24" ht="18" customHeight="1" x14ac:dyDescent="0.2">
      <c r="A83" s="316" t="s">
        <v>185</v>
      </c>
      <c r="B83" s="317" t="s">
        <v>393</v>
      </c>
      <c r="C83" s="318" t="s">
        <v>183</v>
      </c>
      <c r="D83" s="318" t="s">
        <v>183</v>
      </c>
      <c r="E83" s="311" t="s">
        <v>183</v>
      </c>
      <c r="F83" s="312" t="s">
        <v>183</v>
      </c>
      <c r="G83" s="312" t="s">
        <v>183</v>
      </c>
      <c r="H83" s="313" t="s">
        <v>183</v>
      </c>
      <c r="I83" s="313" t="s">
        <v>183</v>
      </c>
      <c r="J83" s="311" t="s">
        <v>183</v>
      </c>
      <c r="K83" s="312" t="s">
        <v>183</v>
      </c>
      <c r="L83" s="312" t="s">
        <v>183</v>
      </c>
      <c r="M83" s="313" t="s">
        <v>183</v>
      </c>
      <c r="N83" s="313" t="s">
        <v>183</v>
      </c>
      <c r="O83" s="311" t="s">
        <v>183</v>
      </c>
      <c r="P83" s="312" t="s">
        <v>183</v>
      </c>
      <c r="Q83" s="312" t="s">
        <v>183</v>
      </c>
      <c r="R83" s="313" t="s">
        <v>183</v>
      </c>
      <c r="S83" s="313" t="s">
        <v>183</v>
      </c>
      <c r="T83" s="311" t="s">
        <v>183</v>
      </c>
      <c r="U83" s="312" t="s">
        <v>183</v>
      </c>
      <c r="V83" s="312" t="s">
        <v>183</v>
      </c>
      <c r="W83" s="313" t="s">
        <v>183</v>
      </c>
      <c r="X83" s="313" t="s">
        <v>183</v>
      </c>
    </row>
    <row r="84" spans="1:24" ht="18" customHeight="1" x14ac:dyDescent="0.2">
      <c r="A84" s="243" t="s">
        <v>184</v>
      </c>
      <c r="B84" s="16" t="s">
        <v>468</v>
      </c>
      <c r="C84" s="207">
        <v>26842</v>
      </c>
      <c r="D84" s="207">
        <v>27434</v>
      </c>
      <c r="E84" s="207">
        <v>27434</v>
      </c>
      <c r="F84" s="207">
        <v>27434</v>
      </c>
      <c r="G84" s="104">
        <f t="shared" ref="G84:G89" si="58">F84-E84</f>
        <v>0</v>
      </c>
      <c r="H84" s="94">
        <f t="shared" ref="H84:H89" si="59">IFERROR(G84/ABS(E84), "-")</f>
        <v>0</v>
      </c>
      <c r="I84" s="207"/>
      <c r="J84" s="207">
        <v>27434</v>
      </c>
      <c r="K84" s="207">
        <v>27434</v>
      </c>
      <c r="L84" s="104">
        <f t="shared" ref="L84:L85" si="60">K84-J84</f>
        <v>0</v>
      </c>
      <c r="M84" s="94">
        <f t="shared" ref="M84:M89" si="61">IFERROR(L84/ABS(J84), "-")</f>
        <v>0</v>
      </c>
      <c r="N84" s="207"/>
      <c r="O84" s="207">
        <v>27434</v>
      </c>
      <c r="P84" s="207">
        <v>27434</v>
      </c>
      <c r="Q84" s="104">
        <f t="shared" ref="Q84:Q89" si="62">P84-O84</f>
        <v>0</v>
      </c>
      <c r="R84" s="94">
        <f t="shared" ref="R84:R89" si="63">IFERROR(Q84/ABS(O84), "-")</f>
        <v>0</v>
      </c>
      <c r="S84" s="207"/>
      <c r="T84" s="207">
        <v>27433.599999999999</v>
      </c>
      <c r="U84" s="103">
        <v>27434</v>
      </c>
      <c r="V84" s="104">
        <f t="shared" ref="V84:V89" si="64">U84-T84</f>
        <v>0.40000000000145519</v>
      </c>
      <c r="W84" s="94">
        <f t="shared" ref="W84:W89" si="65">IFERROR(V84/ABS(T84), "-")</f>
        <v>1.4580660212347458E-5</v>
      </c>
      <c r="X84" s="244"/>
    </row>
    <row r="85" spans="1:24" ht="18" customHeight="1" x14ac:dyDescent="0.2">
      <c r="A85" s="243" t="s">
        <v>402</v>
      </c>
      <c r="B85" s="263" t="s">
        <v>301</v>
      </c>
      <c r="C85" s="207">
        <v>7361</v>
      </c>
      <c r="D85" s="207">
        <v>8230</v>
      </c>
      <c r="E85" s="103">
        <v>8230</v>
      </c>
      <c r="F85" s="103">
        <v>8230</v>
      </c>
      <c r="G85" s="104">
        <f t="shared" si="58"/>
        <v>0</v>
      </c>
      <c r="H85" s="94">
        <f t="shared" si="59"/>
        <v>0</v>
      </c>
      <c r="I85" s="244"/>
      <c r="J85" s="207">
        <v>8230</v>
      </c>
      <c r="K85" s="103">
        <v>8230</v>
      </c>
      <c r="L85" s="104">
        <f t="shared" si="60"/>
        <v>0</v>
      </c>
      <c r="M85" s="94">
        <f t="shared" si="61"/>
        <v>0</v>
      </c>
      <c r="N85" s="244"/>
      <c r="O85" s="207">
        <v>8230</v>
      </c>
      <c r="P85" s="103">
        <v>8230</v>
      </c>
      <c r="Q85" s="104">
        <f t="shared" si="62"/>
        <v>0</v>
      </c>
      <c r="R85" s="94">
        <f t="shared" si="63"/>
        <v>0</v>
      </c>
      <c r="S85" s="244"/>
      <c r="T85" s="103">
        <v>8230.2000000000007</v>
      </c>
      <c r="U85" s="103">
        <v>8230</v>
      </c>
      <c r="V85" s="104">
        <f t="shared" si="64"/>
        <v>-0.2000000000007276</v>
      </c>
      <c r="W85" s="94">
        <f t="shared" si="65"/>
        <v>-2.4300746032991613E-5</v>
      </c>
      <c r="X85" s="244"/>
    </row>
    <row r="86" spans="1:24" ht="18" customHeight="1" x14ac:dyDescent="0.2">
      <c r="A86" s="243" t="s">
        <v>401</v>
      </c>
      <c r="B86" s="44" t="s">
        <v>180</v>
      </c>
      <c r="C86" s="207">
        <v>3689770</v>
      </c>
      <c r="D86" s="207">
        <v>3428820</v>
      </c>
      <c r="E86" s="19">
        <v>1303100</v>
      </c>
      <c r="F86" s="19">
        <v>1303100</v>
      </c>
      <c r="G86" s="104">
        <f t="shared" si="58"/>
        <v>0</v>
      </c>
      <c r="H86" s="94">
        <f t="shared" si="59"/>
        <v>0</v>
      </c>
      <c r="I86" s="439"/>
      <c r="J86" s="19">
        <v>1816400</v>
      </c>
      <c r="K86" s="19">
        <v>1816400</v>
      </c>
      <c r="L86" s="104">
        <f>K86-J86</f>
        <v>0</v>
      </c>
      <c r="M86" s="94">
        <f t="shared" si="61"/>
        <v>0</v>
      </c>
      <c r="N86" s="244"/>
      <c r="O86" s="19">
        <v>2243020</v>
      </c>
      <c r="P86" s="19">
        <v>1969900</v>
      </c>
      <c r="Q86" s="104">
        <f t="shared" si="62"/>
        <v>-273120</v>
      </c>
      <c r="R86" s="94">
        <f>IFERROR(Q86/ABS(O86), "-")</f>
        <v>-0.12176440691567619</v>
      </c>
      <c r="S86" s="244"/>
      <c r="T86" s="19">
        <v>3428820</v>
      </c>
      <c r="U86" s="19">
        <v>3128700</v>
      </c>
      <c r="V86" s="104">
        <f t="shared" si="64"/>
        <v>-300120</v>
      </c>
      <c r="W86" s="94">
        <f t="shared" si="65"/>
        <v>-8.7528654172572495E-2</v>
      </c>
      <c r="X86" s="244"/>
    </row>
    <row r="87" spans="1:24" x14ac:dyDescent="0.2">
      <c r="A87" s="243" t="s">
        <v>403</v>
      </c>
      <c r="B87" s="44" t="s">
        <v>179</v>
      </c>
      <c r="C87" s="207">
        <v>1723469.38</v>
      </c>
      <c r="D87" s="207">
        <v>1645073.38</v>
      </c>
      <c r="E87" s="19">
        <v>403418</v>
      </c>
      <c r="F87" s="19">
        <v>403418</v>
      </c>
      <c r="G87" s="104">
        <f>F87-E87</f>
        <v>0</v>
      </c>
      <c r="H87" s="94">
        <f>IFERROR(G87/ABS(E87), "-")</f>
        <v>0</v>
      </c>
      <c r="I87" s="439"/>
      <c r="J87" s="19">
        <v>769225</v>
      </c>
      <c r="K87" s="19">
        <v>769225</v>
      </c>
      <c r="L87" s="104">
        <f t="shared" ref="L87:L89" si="66">K87-J87</f>
        <v>0</v>
      </c>
      <c r="M87" s="94">
        <f t="shared" si="61"/>
        <v>0</v>
      </c>
      <c r="N87" s="244"/>
      <c r="O87" s="19">
        <v>1249461.78</v>
      </c>
      <c r="P87" s="19">
        <v>1165607.2000000002</v>
      </c>
      <c r="Q87" s="104">
        <f>P87-O87</f>
        <v>-83854.579999999842</v>
      </c>
      <c r="R87" s="94">
        <f>IFERROR(Q87/ABS(O87), "-")</f>
        <v>-6.711256105809002E-2</v>
      </c>
      <c r="S87" s="244"/>
      <c r="T87" s="207">
        <v>1645073.38</v>
      </c>
      <c r="U87" s="19">
        <v>1620338</v>
      </c>
      <c r="V87" s="104">
        <f t="shared" si="64"/>
        <v>-24735.379999999888</v>
      </c>
      <c r="W87" s="94">
        <f t="shared" si="65"/>
        <v>-1.5036034441211304E-2</v>
      </c>
      <c r="X87" s="244"/>
    </row>
    <row r="88" spans="1:24" ht="18" customHeight="1" x14ac:dyDescent="0.2">
      <c r="A88" s="243" t="s">
        <v>182</v>
      </c>
      <c r="B88" s="44" t="s">
        <v>469</v>
      </c>
      <c r="C88" s="207">
        <v>16186</v>
      </c>
      <c r="D88" s="207">
        <v>16765</v>
      </c>
      <c r="E88" s="19">
        <v>4340</v>
      </c>
      <c r="F88" s="19">
        <v>4340</v>
      </c>
      <c r="G88" s="104">
        <f t="shared" si="58"/>
        <v>0</v>
      </c>
      <c r="H88" s="94">
        <f t="shared" si="59"/>
        <v>0</v>
      </c>
      <c r="I88" s="244"/>
      <c r="J88" s="19">
        <v>8748</v>
      </c>
      <c r="K88" s="19">
        <v>8748</v>
      </c>
      <c r="L88" s="104">
        <f t="shared" si="66"/>
        <v>0</v>
      </c>
      <c r="M88" s="94">
        <f t="shared" si="61"/>
        <v>0</v>
      </c>
      <c r="N88" s="244"/>
      <c r="O88" s="19">
        <v>12811</v>
      </c>
      <c r="P88" s="19">
        <v>12833.505000000001</v>
      </c>
      <c r="Q88" s="104">
        <f t="shared" si="62"/>
        <v>22.505000000001019</v>
      </c>
      <c r="R88" s="94">
        <f t="shared" si="63"/>
        <v>1.7566934665522612E-3</v>
      </c>
      <c r="S88" s="244"/>
      <c r="T88" s="19">
        <v>16765</v>
      </c>
      <c r="U88" s="19">
        <v>17578</v>
      </c>
      <c r="V88" s="104">
        <f t="shared" si="64"/>
        <v>813</v>
      </c>
      <c r="W88" s="94">
        <f t="shared" si="65"/>
        <v>4.8493886072174169E-2</v>
      </c>
      <c r="X88" s="244"/>
    </row>
    <row r="89" spans="1:24" ht="24.75" customHeight="1" x14ac:dyDescent="0.2">
      <c r="A89" s="243" t="s">
        <v>181</v>
      </c>
      <c r="B89" s="44" t="s">
        <v>470</v>
      </c>
      <c r="C89" s="207">
        <v>16278</v>
      </c>
      <c r="D89" s="207">
        <v>18059.03</v>
      </c>
      <c r="E89" s="19">
        <v>4666</v>
      </c>
      <c r="F89" s="19">
        <v>4666</v>
      </c>
      <c r="G89" s="104">
        <f t="shared" si="58"/>
        <v>0</v>
      </c>
      <c r="H89" s="94">
        <f t="shared" si="59"/>
        <v>0</v>
      </c>
      <c r="I89" s="244"/>
      <c r="J89" s="19">
        <v>9400</v>
      </c>
      <c r="K89" s="19">
        <v>9400</v>
      </c>
      <c r="L89" s="104">
        <f t="shared" si="66"/>
        <v>0</v>
      </c>
      <c r="M89" s="94">
        <f t="shared" si="61"/>
        <v>0</v>
      </c>
      <c r="N89" s="244"/>
      <c r="O89" s="19">
        <v>13779.02</v>
      </c>
      <c r="P89" s="19">
        <v>13811.53</v>
      </c>
      <c r="Q89" s="104">
        <f t="shared" si="62"/>
        <v>32.510000000000218</v>
      </c>
      <c r="R89" s="94">
        <f t="shared" si="63"/>
        <v>2.3593840490833324E-3</v>
      </c>
      <c r="S89" s="244"/>
      <c r="T89" s="19">
        <v>18059.03</v>
      </c>
      <c r="U89" s="240">
        <v>18882</v>
      </c>
      <c r="V89" s="83">
        <f t="shared" si="64"/>
        <v>822.97000000000116</v>
      </c>
      <c r="W89" s="79">
        <f t="shared" si="65"/>
        <v>4.5571107639779167E-2</v>
      </c>
      <c r="X89" s="223"/>
    </row>
    <row r="90" spans="1:24" ht="18" customHeight="1" x14ac:dyDescent="0.2">
      <c r="A90" s="316" t="s">
        <v>394</v>
      </c>
      <c r="B90" s="323" t="s">
        <v>395</v>
      </c>
      <c r="C90" s="307" t="s">
        <v>183</v>
      </c>
      <c r="D90" s="307" t="s">
        <v>183</v>
      </c>
      <c r="E90" s="324" t="s">
        <v>183</v>
      </c>
      <c r="F90" s="324" t="s">
        <v>183</v>
      </c>
      <c r="G90" s="312" t="s">
        <v>183</v>
      </c>
      <c r="H90" s="325" t="s">
        <v>183</v>
      </c>
      <c r="I90" s="325" t="s">
        <v>183</v>
      </c>
      <c r="J90" s="324" t="s">
        <v>183</v>
      </c>
      <c r="K90" s="324" t="s">
        <v>183</v>
      </c>
      <c r="L90" s="312" t="s">
        <v>183</v>
      </c>
      <c r="M90" s="325" t="s">
        <v>183</v>
      </c>
      <c r="N90" s="325" t="s">
        <v>183</v>
      </c>
      <c r="O90" s="324" t="s">
        <v>183</v>
      </c>
      <c r="P90" s="324" t="s">
        <v>183</v>
      </c>
      <c r="Q90" s="312" t="s">
        <v>183</v>
      </c>
      <c r="R90" s="325" t="s">
        <v>183</v>
      </c>
      <c r="S90" s="325" t="s">
        <v>183</v>
      </c>
      <c r="T90" s="324" t="s">
        <v>183</v>
      </c>
      <c r="U90" s="324" t="s">
        <v>183</v>
      </c>
      <c r="V90" s="312" t="s">
        <v>183</v>
      </c>
      <c r="W90" s="325" t="s">
        <v>183</v>
      </c>
      <c r="X90" s="325" t="s">
        <v>183</v>
      </c>
    </row>
    <row r="91" spans="1:24" ht="36" customHeight="1" x14ac:dyDescent="0.2">
      <c r="A91" s="243" t="s">
        <v>396</v>
      </c>
      <c r="B91" s="44" t="s">
        <v>471</v>
      </c>
      <c r="C91" s="207"/>
      <c r="D91" s="207"/>
      <c r="E91" s="19"/>
      <c r="F91" s="19"/>
      <c r="G91" s="104"/>
      <c r="H91" s="94"/>
      <c r="I91" s="244"/>
      <c r="J91" s="19"/>
      <c r="K91" s="19"/>
      <c r="L91" s="104"/>
      <c r="M91" s="94"/>
      <c r="N91" s="244"/>
      <c r="O91" s="19"/>
      <c r="P91" s="19"/>
      <c r="Q91" s="104"/>
      <c r="R91" s="94"/>
      <c r="S91" s="244"/>
      <c r="T91" s="19"/>
      <c r="U91" s="19"/>
      <c r="V91" s="104">
        <f>U91-T91</f>
        <v>0</v>
      </c>
      <c r="W91" s="94" t="str">
        <f>IFERROR(V91/ABS(T91), "-")</f>
        <v>-</v>
      </c>
      <c r="X91" s="244"/>
    </row>
    <row r="92" spans="1:24" x14ac:dyDescent="0.2">
      <c r="A92" s="264"/>
      <c r="B92" s="212"/>
      <c r="C92" s="213"/>
      <c r="D92" s="213"/>
      <c r="E92" s="214"/>
      <c r="F92" s="214"/>
      <c r="G92" s="215"/>
      <c r="H92" s="216"/>
      <c r="I92" s="216"/>
      <c r="J92" s="214"/>
      <c r="K92" s="214"/>
      <c r="L92" s="215"/>
      <c r="M92" s="216"/>
      <c r="N92" s="216"/>
      <c r="O92" s="214"/>
      <c r="P92" s="214"/>
      <c r="Q92" s="215"/>
      <c r="R92" s="216"/>
      <c r="S92" s="216"/>
      <c r="T92" s="214"/>
      <c r="U92" s="214"/>
      <c r="V92" s="215"/>
      <c r="W92" s="216"/>
      <c r="X92" s="216"/>
    </row>
    <row r="93" spans="1:24" x14ac:dyDescent="0.2">
      <c r="A93" s="31" t="s">
        <v>441</v>
      </c>
      <c r="B93" s="212"/>
      <c r="C93" s="213"/>
      <c r="D93" s="213"/>
      <c r="E93" s="214"/>
      <c r="F93" s="214"/>
      <c r="G93" s="215"/>
      <c r="H93" s="216"/>
      <c r="I93" s="216"/>
      <c r="J93" s="214"/>
      <c r="K93" s="214"/>
      <c r="L93" s="215"/>
      <c r="M93" s="216"/>
      <c r="N93" s="216"/>
      <c r="O93" s="214"/>
      <c r="P93" s="214"/>
      <c r="Q93" s="215"/>
      <c r="R93" s="216"/>
      <c r="S93" s="216"/>
      <c r="T93" s="214"/>
      <c r="U93" s="214"/>
      <c r="V93" s="215"/>
      <c r="W93" s="216"/>
      <c r="X93" s="216"/>
    </row>
    <row r="94" spans="1:24" s="13" customFormat="1" x14ac:dyDescent="0.2">
      <c r="A94" s="647" t="s">
        <v>514</v>
      </c>
      <c r="B94" s="647"/>
      <c r="C94" s="647"/>
      <c r="D94" s="647"/>
      <c r="E94" s="647"/>
      <c r="F94" s="647"/>
      <c r="G94" s="647"/>
      <c r="H94" s="647"/>
      <c r="I94" s="647"/>
      <c r="J94" s="265"/>
      <c r="K94" s="265"/>
      <c r="L94" s="265"/>
      <c r="M94" s="265"/>
      <c r="N94" s="265"/>
      <c r="O94" s="265"/>
      <c r="P94" s="265"/>
      <c r="Q94" s="265"/>
      <c r="R94" s="265"/>
      <c r="S94" s="265"/>
      <c r="T94" s="265"/>
      <c r="U94" s="265"/>
      <c r="V94" s="265"/>
      <c r="W94" s="265"/>
      <c r="X94" s="265"/>
    </row>
    <row r="95" spans="1:24" s="13" customFormat="1" ht="18.75" customHeight="1" x14ac:dyDescent="0.2">
      <c r="A95" s="647" t="s">
        <v>515</v>
      </c>
      <c r="B95" s="647"/>
      <c r="C95" s="647"/>
      <c r="D95" s="647"/>
      <c r="E95" s="647"/>
      <c r="F95" s="647"/>
      <c r="G95" s="647"/>
      <c r="H95" s="647"/>
      <c r="I95" s="647"/>
      <c r="J95" s="265"/>
      <c r="K95" s="265"/>
      <c r="L95" s="265"/>
      <c r="M95" s="265"/>
      <c r="N95" s="265"/>
      <c r="O95" s="265"/>
      <c r="P95" s="265"/>
      <c r="Q95" s="265"/>
      <c r="R95" s="265"/>
      <c r="S95" s="265"/>
      <c r="T95" s="265"/>
      <c r="U95" s="265"/>
      <c r="V95" s="265"/>
      <c r="W95" s="265"/>
      <c r="X95" s="265"/>
    </row>
    <row r="96" spans="1:24" s="13" customFormat="1" ht="18" customHeight="1" x14ac:dyDescent="0.2">
      <c r="A96" s="647" t="s">
        <v>516</v>
      </c>
      <c r="B96" s="647"/>
      <c r="C96" s="647"/>
      <c r="D96" s="647"/>
      <c r="E96" s="647"/>
      <c r="F96" s="647"/>
      <c r="G96" s="647"/>
      <c r="H96" s="647"/>
      <c r="I96" s="647"/>
      <c r="J96" s="265"/>
      <c r="K96" s="265"/>
      <c r="L96" s="265"/>
      <c r="M96" s="265"/>
      <c r="N96" s="265"/>
      <c r="O96" s="265"/>
      <c r="P96" s="265"/>
      <c r="Q96" s="265"/>
      <c r="R96" s="265"/>
      <c r="S96" s="265"/>
      <c r="T96" s="265"/>
      <c r="U96" s="265"/>
      <c r="V96" s="265"/>
      <c r="W96" s="265"/>
      <c r="X96" s="265"/>
    </row>
    <row r="97" spans="1:24" s="13" customFormat="1" x14ac:dyDescent="0.2">
      <c r="A97" s="647" t="s">
        <v>517</v>
      </c>
      <c r="B97" s="647"/>
      <c r="C97" s="647"/>
      <c r="D97" s="647"/>
      <c r="E97" s="647"/>
      <c r="F97" s="647"/>
      <c r="G97" s="647"/>
      <c r="H97" s="647"/>
      <c r="I97" s="647"/>
      <c r="J97" s="265"/>
      <c r="K97" s="265"/>
      <c r="L97" s="265"/>
      <c r="M97" s="265"/>
      <c r="N97" s="265"/>
      <c r="O97" s="265"/>
      <c r="P97" s="265"/>
      <c r="Q97" s="265"/>
      <c r="R97" s="265"/>
      <c r="S97" s="265"/>
      <c r="T97" s="265"/>
      <c r="U97" s="265"/>
      <c r="V97" s="265"/>
      <c r="W97" s="265"/>
      <c r="X97" s="265"/>
    </row>
    <row r="98" spans="1:24" s="13" customFormat="1" ht="18" customHeight="1" x14ac:dyDescent="0.2">
      <c r="A98" s="647" t="s">
        <v>518</v>
      </c>
      <c r="B98" s="647"/>
      <c r="C98" s="647"/>
      <c r="D98" s="647"/>
      <c r="E98" s="647"/>
      <c r="F98" s="647"/>
      <c r="G98" s="647"/>
      <c r="H98" s="647"/>
      <c r="I98" s="647"/>
      <c r="J98" s="265"/>
      <c r="K98" s="265"/>
      <c r="L98" s="265"/>
      <c r="M98" s="265"/>
      <c r="N98" s="265"/>
      <c r="O98" s="265"/>
      <c r="P98" s="265"/>
      <c r="Q98" s="265"/>
      <c r="R98" s="265"/>
      <c r="S98" s="265"/>
      <c r="T98" s="265"/>
      <c r="U98" s="265"/>
      <c r="V98" s="265"/>
      <c r="W98" s="265"/>
      <c r="X98" s="265"/>
    </row>
    <row r="99" spans="1:24" s="13" customFormat="1" x14ac:dyDescent="0.2">
      <c r="A99" s="647" t="s">
        <v>519</v>
      </c>
      <c r="B99" s="647"/>
      <c r="C99" s="647"/>
      <c r="D99" s="647"/>
      <c r="E99" s="647"/>
      <c r="F99" s="647"/>
      <c r="G99" s="647"/>
      <c r="H99" s="647"/>
      <c r="I99" s="647"/>
      <c r="J99" s="265"/>
      <c r="K99" s="265"/>
      <c r="L99" s="265"/>
      <c r="M99" s="265"/>
      <c r="N99" s="265"/>
      <c r="O99" s="265"/>
      <c r="P99" s="265"/>
      <c r="Q99" s="265"/>
      <c r="R99" s="265"/>
      <c r="S99" s="265"/>
      <c r="T99" s="265"/>
      <c r="U99" s="265"/>
      <c r="V99" s="265"/>
      <c r="W99" s="265"/>
      <c r="X99" s="265"/>
    </row>
    <row r="100" spans="1:24" s="13" customFormat="1" x14ac:dyDescent="0.2">
      <c r="A100" s="647" t="s">
        <v>520</v>
      </c>
      <c r="B100" s="647"/>
      <c r="C100" s="647"/>
      <c r="D100" s="647"/>
      <c r="E100" s="647"/>
      <c r="F100" s="647"/>
      <c r="G100" s="647"/>
      <c r="H100" s="647"/>
      <c r="I100" s="647"/>
      <c r="J100" s="265"/>
      <c r="K100" s="265"/>
      <c r="L100" s="265"/>
      <c r="M100" s="265"/>
      <c r="N100" s="265"/>
      <c r="O100" s="265"/>
      <c r="P100" s="265"/>
      <c r="Q100" s="265"/>
      <c r="R100" s="265"/>
      <c r="S100" s="265"/>
      <c r="T100" s="265"/>
      <c r="U100" s="265"/>
      <c r="V100" s="265"/>
      <c r="W100" s="265"/>
      <c r="X100" s="265"/>
    </row>
    <row r="101" spans="1:24" s="13" customFormat="1" x14ac:dyDescent="0.2">
      <c r="A101" s="648" t="s">
        <v>521</v>
      </c>
      <c r="B101" s="648"/>
      <c r="C101" s="648"/>
      <c r="D101" s="648"/>
      <c r="E101" s="648"/>
      <c r="F101" s="648"/>
      <c r="G101" s="648"/>
      <c r="H101" s="648"/>
      <c r="I101" s="648"/>
      <c r="J101" s="265"/>
      <c r="K101" s="265"/>
      <c r="L101" s="265"/>
      <c r="M101" s="265"/>
      <c r="N101" s="265"/>
      <c r="O101" s="265"/>
      <c r="P101" s="265"/>
      <c r="Q101" s="265"/>
      <c r="R101" s="265"/>
      <c r="S101" s="265"/>
      <c r="T101" s="265"/>
      <c r="U101" s="265"/>
      <c r="V101" s="265"/>
      <c r="W101" s="265"/>
      <c r="X101" s="265"/>
    </row>
    <row r="102" spans="1:24" s="13" customFormat="1" x14ac:dyDescent="0.2">
      <c r="A102" s="647" t="s">
        <v>522</v>
      </c>
      <c r="B102" s="647"/>
      <c r="C102" s="647"/>
      <c r="D102" s="647"/>
      <c r="E102" s="647"/>
      <c r="F102" s="647"/>
      <c r="G102" s="647"/>
      <c r="H102" s="647"/>
      <c r="I102" s="647"/>
      <c r="J102" s="265"/>
      <c r="K102" s="265"/>
      <c r="L102" s="265"/>
      <c r="M102" s="265"/>
      <c r="N102" s="265"/>
      <c r="O102" s="265"/>
      <c r="P102" s="265"/>
      <c r="Q102" s="265"/>
      <c r="R102" s="265"/>
      <c r="S102" s="265"/>
      <c r="T102" s="265"/>
      <c r="U102" s="265"/>
      <c r="V102" s="265"/>
      <c r="W102" s="265"/>
      <c r="X102" s="265"/>
    </row>
    <row r="103" spans="1:24" s="13" customFormat="1" x14ac:dyDescent="0.2">
      <c r="A103" s="647" t="s">
        <v>523</v>
      </c>
      <c r="B103" s="647"/>
      <c r="C103" s="647"/>
      <c r="D103" s="647"/>
      <c r="E103" s="647"/>
      <c r="F103" s="647"/>
      <c r="G103" s="647"/>
      <c r="H103" s="647"/>
      <c r="I103" s="647"/>
      <c r="J103" s="265"/>
      <c r="K103" s="265"/>
      <c r="L103" s="265"/>
      <c r="M103" s="265"/>
      <c r="N103" s="265"/>
      <c r="O103" s="265"/>
      <c r="P103" s="265"/>
      <c r="Q103" s="265"/>
      <c r="R103" s="265"/>
      <c r="S103" s="265"/>
      <c r="T103" s="265"/>
      <c r="U103" s="265"/>
      <c r="V103" s="265"/>
      <c r="W103" s="265"/>
      <c r="X103" s="265"/>
    </row>
    <row r="104" spans="1:24" s="13" customFormat="1" x14ac:dyDescent="0.2">
      <c r="A104" s="647" t="s">
        <v>524</v>
      </c>
      <c r="B104" s="647"/>
      <c r="C104" s="647"/>
      <c r="D104" s="647"/>
      <c r="E104" s="647"/>
      <c r="F104" s="647"/>
      <c r="G104" s="647"/>
      <c r="H104" s="647"/>
      <c r="I104" s="647"/>
      <c r="J104" s="265"/>
      <c r="K104" s="265"/>
      <c r="L104" s="265"/>
      <c r="M104" s="265"/>
      <c r="N104" s="265"/>
      <c r="O104" s="265"/>
      <c r="P104" s="265"/>
      <c r="Q104" s="265"/>
      <c r="R104" s="265"/>
      <c r="S104" s="265"/>
      <c r="T104" s="265"/>
      <c r="U104" s="265"/>
      <c r="V104" s="265"/>
      <c r="W104" s="265"/>
      <c r="X104" s="265"/>
    </row>
    <row r="105" spans="1:24" x14ac:dyDescent="0.2">
      <c r="A105" s="601" t="s">
        <v>526</v>
      </c>
      <c r="B105" s="601"/>
      <c r="C105" s="601"/>
      <c r="D105" s="601"/>
      <c r="E105" s="601"/>
      <c r="F105" s="601"/>
      <c r="G105" s="601"/>
      <c r="H105" s="601"/>
      <c r="I105" s="601"/>
      <c r="J105" s="33"/>
      <c r="K105" s="33"/>
      <c r="L105" s="33"/>
      <c r="M105" s="66"/>
      <c r="N105" s="66"/>
      <c r="O105" s="33"/>
      <c r="P105" s="33"/>
      <c r="Q105" s="33"/>
      <c r="R105" s="66"/>
      <c r="S105" s="66"/>
      <c r="T105" s="33"/>
      <c r="U105" s="33"/>
      <c r="V105" s="33"/>
      <c r="W105" s="66"/>
      <c r="X105" s="66"/>
    </row>
  </sheetData>
  <sheetProtection formatColumns="0" formatRows="0"/>
  <mergeCells count="12">
    <mergeCell ref="A105:I105"/>
    <mergeCell ref="A99:I99"/>
    <mergeCell ref="A94:I94"/>
    <mergeCell ref="A95:I95"/>
    <mergeCell ref="A96:I96"/>
    <mergeCell ref="A97:I97"/>
    <mergeCell ref="A98:I98"/>
    <mergeCell ref="A104:I104"/>
    <mergeCell ref="A100:I100"/>
    <mergeCell ref="A101:I101"/>
    <mergeCell ref="A102:I102"/>
    <mergeCell ref="A103:I103"/>
  </mergeCells>
  <pageMargins left="0.23622047244094491" right="0.23622047244094491" top="0.74803149606299213" bottom="0.74803149606299213" header="0.31496062992125984" footer="0.31496062992125984"/>
  <pageSetup paperSize="9" scale="25" fitToHeight="0" orientation="landscape" r:id="rId1"/>
  <headerFooter>
    <oddHeader xml:space="preserve">&amp;C&amp;"Times New Roman,Bold"&amp;14Naturālie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X43"/>
  <sheetViews>
    <sheetView view="pageBreakPreview" topLeftCell="K1" zoomScale="80" zoomScaleNormal="100" zoomScaleSheetLayoutView="80" workbookViewId="0">
      <pane ySplit="1" topLeftCell="A2" activePane="bottomLeft" state="frozen"/>
      <selection pane="bottomLeft" activeCell="W6" sqref="W6"/>
    </sheetView>
  </sheetViews>
  <sheetFormatPr defaultColWidth="7.7109375" defaultRowHeight="15.75" outlineLevelCol="1" x14ac:dyDescent="0.25"/>
  <cols>
    <col min="1" max="1" width="14.28515625" style="266" customWidth="1"/>
    <col min="2" max="2" width="34.42578125" style="266" customWidth="1"/>
    <col min="3" max="3" width="16.28515625" style="266" customWidth="1"/>
    <col min="4" max="4" width="14.85546875" style="266" customWidth="1"/>
    <col min="5" max="5" width="13.85546875" style="266" customWidth="1"/>
    <col min="6" max="6" width="15.85546875" style="266" customWidth="1" outlineLevel="1"/>
    <col min="7" max="7" width="19.42578125" style="266" customWidth="1" outlineLevel="1"/>
    <col min="8" max="8" width="17.85546875" style="266" customWidth="1" outlineLevel="1"/>
    <col min="9" max="9" width="34.42578125" style="266" customWidth="1" outlineLevel="1"/>
    <col min="10" max="10" width="15.7109375" style="266" customWidth="1"/>
    <col min="11" max="11" width="17.28515625" style="266" customWidth="1" outlineLevel="1"/>
    <col min="12" max="12" width="18.28515625" style="266" customWidth="1" outlineLevel="1"/>
    <col min="13" max="13" width="18.5703125" style="266" customWidth="1" outlineLevel="1"/>
    <col min="14" max="14" width="34.42578125" style="266" customWidth="1" outlineLevel="1"/>
    <col min="15" max="15" width="20.28515625" style="266" customWidth="1"/>
    <col min="16" max="16" width="17.42578125" style="266" customWidth="1" outlineLevel="1"/>
    <col min="17" max="17" width="18" style="266" customWidth="1" outlineLevel="1"/>
    <col min="18" max="18" width="17.42578125" style="266" customWidth="1" outlineLevel="1"/>
    <col min="19" max="19" width="34.42578125" style="266" customWidth="1" outlineLevel="1"/>
    <col min="20" max="20" width="17.5703125" style="266" customWidth="1"/>
    <col min="21" max="21" width="17.28515625" style="266" customWidth="1" outlineLevel="1"/>
    <col min="22" max="22" width="18.5703125" style="266" customWidth="1" outlineLevel="1"/>
    <col min="23" max="23" width="17.28515625" style="266" customWidth="1" outlineLevel="1"/>
    <col min="24" max="24" width="34.42578125" style="266" customWidth="1" outlineLevel="1"/>
    <col min="25" max="25" width="34.42578125" style="266" customWidth="1"/>
    <col min="26" max="229" width="9.140625" style="266" customWidth="1"/>
    <col min="230" max="230" width="3.140625" style="266" customWidth="1"/>
    <col min="231" max="231" width="4.42578125" style="266" customWidth="1"/>
    <col min="232" max="232" width="26" style="266" customWidth="1"/>
    <col min="233" max="233" width="8.7109375" style="266" customWidth="1"/>
    <col min="234" max="235" width="7.7109375" style="266"/>
    <col min="236" max="236" width="8.7109375" style="266" customWidth="1"/>
    <col min="237" max="238" width="7.7109375" style="266"/>
    <col min="239" max="239" width="8.7109375" style="266" customWidth="1"/>
    <col min="240" max="16384" width="7.7109375" style="266"/>
  </cols>
  <sheetData>
    <row r="1" spans="1:24" ht="94.5" x14ac:dyDescent="0.25">
      <c r="A1" s="101" t="s">
        <v>0</v>
      </c>
      <c r="B1" s="198" t="s">
        <v>510</v>
      </c>
      <c r="C1" s="25" t="s">
        <v>567</v>
      </c>
      <c r="D1" s="25" t="s">
        <v>568</v>
      </c>
      <c r="E1" s="25" t="s">
        <v>569</v>
      </c>
      <c r="F1" s="25" t="s">
        <v>574</v>
      </c>
      <c r="G1" s="26" t="s">
        <v>572</v>
      </c>
      <c r="H1" s="27" t="s">
        <v>573</v>
      </c>
      <c r="I1" s="25" t="s">
        <v>442</v>
      </c>
      <c r="J1" s="25" t="s">
        <v>570</v>
      </c>
      <c r="K1" s="25" t="s">
        <v>430</v>
      </c>
      <c r="L1" s="26" t="s">
        <v>404</v>
      </c>
      <c r="M1" s="27" t="s">
        <v>405</v>
      </c>
      <c r="N1" s="25" t="s">
        <v>442</v>
      </c>
      <c r="O1" s="25" t="s">
        <v>575</v>
      </c>
      <c r="P1" s="25" t="s">
        <v>576</v>
      </c>
      <c r="Q1" s="26" t="s">
        <v>572</v>
      </c>
      <c r="R1" s="27" t="s">
        <v>573</v>
      </c>
      <c r="S1" s="25" t="s">
        <v>442</v>
      </c>
      <c r="T1" s="25" t="s">
        <v>577</v>
      </c>
      <c r="U1" s="25" t="s">
        <v>578</v>
      </c>
      <c r="V1" s="26" t="s">
        <v>404</v>
      </c>
      <c r="W1" s="27" t="s">
        <v>405</v>
      </c>
      <c r="X1" s="25" t="s">
        <v>442</v>
      </c>
    </row>
    <row r="2" spans="1:24" x14ac:dyDescent="0.25">
      <c r="A2" s="101">
        <v>1</v>
      </c>
      <c r="B2" s="198">
        <v>2</v>
      </c>
      <c r="C2" s="25">
        <v>3</v>
      </c>
      <c r="D2" s="25">
        <v>4</v>
      </c>
      <c r="E2" s="25">
        <v>5</v>
      </c>
      <c r="F2" s="25">
        <v>6</v>
      </c>
      <c r="G2" s="26">
        <v>7</v>
      </c>
      <c r="H2" s="28">
        <v>8</v>
      </c>
      <c r="I2" s="25"/>
      <c r="J2" s="25">
        <v>10</v>
      </c>
      <c r="K2" s="25">
        <v>11</v>
      </c>
      <c r="L2" s="26">
        <v>12</v>
      </c>
      <c r="M2" s="28">
        <v>13</v>
      </c>
      <c r="N2" s="25">
        <v>14</v>
      </c>
      <c r="O2" s="25">
        <v>15</v>
      </c>
      <c r="P2" s="25">
        <v>16</v>
      </c>
      <c r="Q2" s="26">
        <v>17</v>
      </c>
      <c r="R2" s="28">
        <v>18</v>
      </c>
      <c r="S2" s="25">
        <v>19</v>
      </c>
      <c r="T2" s="25">
        <v>20</v>
      </c>
      <c r="U2" s="25">
        <v>21</v>
      </c>
      <c r="V2" s="26">
        <v>22</v>
      </c>
      <c r="W2" s="28">
        <v>23</v>
      </c>
      <c r="X2" s="25">
        <v>24</v>
      </c>
    </row>
    <row r="3" spans="1:24" x14ac:dyDescent="0.25">
      <c r="A3" s="184">
        <v>51000</v>
      </c>
      <c r="B3" s="178" t="s">
        <v>254</v>
      </c>
      <c r="C3" s="117">
        <v>33275</v>
      </c>
      <c r="D3" s="117">
        <f>D4+D5+D6+D8</f>
        <v>0</v>
      </c>
      <c r="E3" s="117">
        <f>E4+E5+E6+E8</f>
        <v>0</v>
      </c>
      <c r="F3" s="117">
        <f>F4+F5+F6+F8</f>
        <v>0</v>
      </c>
      <c r="G3" s="120">
        <f>F3-E3</f>
        <v>0</v>
      </c>
      <c r="H3" s="121" t="str">
        <f>IFERROR(G3/ABS(E3), "-")</f>
        <v>-</v>
      </c>
      <c r="I3" s="637" t="s">
        <v>693</v>
      </c>
      <c r="J3" s="117">
        <f>J4+J5+J6+J8</f>
        <v>0</v>
      </c>
      <c r="K3" s="117">
        <f>K4+K5+K6+K8</f>
        <v>0</v>
      </c>
      <c r="L3" s="120">
        <f>K3-J3</f>
        <v>0</v>
      </c>
      <c r="M3" s="121" t="str">
        <f>IFERROR(L3/ABS(J3), "-")</f>
        <v>-</v>
      </c>
      <c r="N3" s="641"/>
      <c r="O3" s="117">
        <f>O4+O5+O6+O8</f>
        <v>0</v>
      </c>
      <c r="P3" s="117">
        <f>P4+P5+P6+P8</f>
        <v>0</v>
      </c>
      <c r="Q3" s="120">
        <f>P3-O3</f>
        <v>0</v>
      </c>
      <c r="R3" s="121" t="str">
        <f>IFERROR(Q3/ABS(O3), "-")</f>
        <v>-</v>
      </c>
      <c r="S3" s="641"/>
      <c r="T3" s="117">
        <f>T4+T5+T6+T8</f>
        <v>0</v>
      </c>
      <c r="U3" s="117">
        <f>U4+U5+U6+U8</f>
        <v>36300</v>
      </c>
      <c r="V3" s="120">
        <f>U3-T3</f>
        <v>36300</v>
      </c>
      <c r="W3" s="121" t="str">
        <f>IFERROR(V3/ABS(T3), "-")</f>
        <v>-</v>
      </c>
      <c r="X3" s="649" t="s">
        <v>733</v>
      </c>
    </row>
    <row r="4" spans="1:24" x14ac:dyDescent="0.25">
      <c r="A4" s="101">
        <v>51100</v>
      </c>
      <c r="B4" s="199" t="s">
        <v>472</v>
      </c>
      <c r="C4" s="200"/>
      <c r="D4" s="200"/>
      <c r="E4" s="200"/>
      <c r="F4" s="200"/>
      <c r="G4" s="201">
        <f t="shared" ref="G4:G38" si="0">F4-E4</f>
        <v>0</v>
      </c>
      <c r="H4" s="202" t="str">
        <f t="shared" ref="H4:H38" si="1">IFERROR(G4/ABS(E4), "-")</f>
        <v>-</v>
      </c>
      <c r="I4" s="638"/>
      <c r="J4" s="200"/>
      <c r="K4" s="200"/>
      <c r="L4" s="201">
        <f t="shared" ref="L4:L38" si="2">K4-J4</f>
        <v>0</v>
      </c>
      <c r="M4" s="202" t="str">
        <f t="shared" ref="M4:M38" si="3">IFERROR(L4/ABS(J4), "-")</f>
        <v>-</v>
      </c>
      <c r="N4" s="642"/>
      <c r="O4" s="200"/>
      <c r="P4" s="200"/>
      <c r="Q4" s="201">
        <f t="shared" ref="Q4:Q38" si="4">P4-O4</f>
        <v>0</v>
      </c>
      <c r="R4" s="202" t="str">
        <f t="shared" ref="R4:R38" si="5">IFERROR(Q4/ABS(O4), "-")</f>
        <v>-</v>
      </c>
      <c r="S4" s="642"/>
      <c r="T4" s="200"/>
      <c r="U4" s="200"/>
      <c r="V4" s="201">
        <f t="shared" ref="V4:V38" si="6">U4-T4</f>
        <v>0</v>
      </c>
      <c r="W4" s="202" t="str">
        <f t="shared" ref="W4:W38" si="7">IFERROR(V4/ABS(T4), "-")</f>
        <v>-</v>
      </c>
      <c r="X4" s="650"/>
    </row>
    <row r="5" spans="1:24" x14ac:dyDescent="0.25">
      <c r="A5" s="203">
        <v>51200</v>
      </c>
      <c r="B5" s="204" t="s">
        <v>473</v>
      </c>
      <c r="C5" s="200"/>
      <c r="D5" s="200"/>
      <c r="E5" s="200"/>
      <c r="F5" s="200"/>
      <c r="G5" s="201">
        <f t="shared" si="0"/>
        <v>0</v>
      </c>
      <c r="H5" s="202" t="str">
        <f t="shared" si="1"/>
        <v>-</v>
      </c>
      <c r="I5" s="638"/>
      <c r="J5" s="200"/>
      <c r="K5" s="200"/>
      <c r="L5" s="201">
        <f t="shared" si="2"/>
        <v>0</v>
      </c>
      <c r="M5" s="202" t="str">
        <f t="shared" si="3"/>
        <v>-</v>
      </c>
      <c r="N5" s="642"/>
      <c r="O5" s="200"/>
      <c r="P5" s="200"/>
      <c r="Q5" s="201">
        <f t="shared" si="4"/>
        <v>0</v>
      </c>
      <c r="R5" s="202" t="str">
        <f t="shared" si="5"/>
        <v>-</v>
      </c>
      <c r="S5" s="642"/>
      <c r="T5" s="200"/>
      <c r="U5" s="200"/>
      <c r="V5" s="201">
        <f t="shared" si="6"/>
        <v>0</v>
      </c>
      <c r="W5" s="202" t="str">
        <f t="shared" si="7"/>
        <v>-</v>
      </c>
      <c r="X5" s="650"/>
    </row>
    <row r="6" spans="1:24" ht="47.25" x14ac:dyDescent="0.25">
      <c r="A6" s="203">
        <v>51300</v>
      </c>
      <c r="B6" s="204" t="s">
        <v>410</v>
      </c>
      <c r="C6" s="200">
        <v>33275</v>
      </c>
      <c r="D6" s="200"/>
      <c r="E6" s="200"/>
      <c r="F6" s="200"/>
      <c r="G6" s="201">
        <f t="shared" si="0"/>
        <v>0</v>
      </c>
      <c r="H6" s="202" t="str">
        <f t="shared" si="1"/>
        <v>-</v>
      </c>
      <c r="I6" s="638"/>
      <c r="J6" s="200"/>
      <c r="K6" s="200"/>
      <c r="L6" s="201">
        <f t="shared" si="2"/>
        <v>0</v>
      </c>
      <c r="M6" s="202" t="str">
        <f t="shared" si="3"/>
        <v>-</v>
      </c>
      <c r="N6" s="642"/>
      <c r="O6" s="200"/>
      <c r="P6" s="200"/>
      <c r="Q6" s="201">
        <f t="shared" si="4"/>
        <v>0</v>
      </c>
      <c r="R6" s="202" t="str">
        <f t="shared" si="5"/>
        <v>-</v>
      </c>
      <c r="S6" s="642"/>
      <c r="T6" s="200"/>
      <c r="U6" s="200">
        <v>36300</v>
      </c>
      <c r="V6" s="201">
        <f t="shared" si="6"/>
        <v>36300</v>
      </c>
      <c r="W6" s="202" t="str">
        <f t="shared" si="7"/>
        <v>-</v>
      </c>
      <c r="X6" s="650"/>
    </row>
    <row r="7" spans="1:24" x14ac:dyDescent="0.25">
      <c r="A7" s="203"/>
      <c r="B7" s="204" t="s">
        <v>584</v>
      </c>
      <c r="C7" s="200"/>
      <c r="D7" s="200"/>
      <c r="E7" s="200"/>
      <c r="F7" s="200"/>
      <c r="G7" s="201"/>
      <c r="H7" s="202"/>
      <c r="I7" s="638"/>
      <c r="J7" s="200"/>
      <c r="K7" s="200"/>
      <c r="L7" s="201"/>
      <c r="M7" s="202"/>
      <c r="N7" s="642"/>
      <c r="O7" s="200"/>
      <c r="P7" s="200"/>
      <c r="Q7" s="201"/>
      <c r="R7" s="202"/>
      <c r="S7" s="642"/>
      <c r="T7" s="200"/>
      <c r="U7" s="200"/>
      <c r="V7" s="201"/>
      <c r="W7" s="202"/>
      <c r="X7" s="650"/>
    </row>
    <row r="8" spans="1:24" x14ac:dyDescent="0.25">
      <c r="A8" s="203">
        <v>51400</v>
      </c>
      <c r="B8" s="204" t="s">
        <v>474</v>
      </c>
      <c r="C8" s="200"/>
      <c r="D8" s="200"/>
      <c r="E8" s="200"/>
      <c r="F8" s="200"/>
      <c r="G8" s="201">
        <f t="shared" si="0"/>
        <v>0</v>
      </c>
      <c r="H8" s="202" t="str">
        <f t="shared" si="1"/>
        <v>-</v>
      </c>
      <c r="I8" s="638"/>
      <c r="J8" s="200"/>
      <c r="K8" s="200"/>
      <c r="L8" s="201">
        <f t="shared" si="2"/>
        <v>0</v>
      </c>
      <c r="M8" s="202" t="str">
        <f t="shared" si="3"/>
        <v>-</v>
      </c>
      <c r="N8" s="642"/>
      <c r="O8" s="200"/>
      <c r="P8" s="200"/>
      <c r="Q8" s="201">
        <f t="shared" si="4"/>
        <v>0</v>
      </c>
      <c r="R8" s="202" t="str">
        <f t="shared" si="5"/>
        <v>-</v>
      </c>
      <c r="S8" s="642"/>
      <c r="T8" s="200"/>
      <c r="U8" s="200"/>
      <c r="V8" s="201">
        <f t="shared" si="6"/>
        <v>0</v>
      </c>
      <c r="W8" s="202" t="str">
        <f t="shared" si="7"/>
        <v>-</v>
      </c>
      <c r="X8" s="650"/>
    </row>
    <row r="9" spans="1:24" x14ac:dyDescent="0.25">
      <c r="A9" s="184">
        <v>52000</v>
      </c>
      <c r="B9" s="178" t="s">
        <v>255</v>
      </c>
      <c r="C9" s="117">
        <v>265505</v>
      </c>
      <c r="D9" s="117">
        <f ca="1">SUM(OFFSET(D17,-1,0):OFFSET(D9,1,0))</f>
        <v>0</v>
      </c>
      <c r="E9" s="117">
        <f ca="1">SUM(OFFSET(E17,-1,0):OFFSET(E9,1,0))</f>
        <v>0</v>
      </c>
      <c r="F9" s="117">
        <f ca="1">SUM(OFFSET(F17,-1,0):OFFSET(F9,1,0))</f>
        <v>28000</v>
      </c>
      <c r="G9" s="120">
        <f t="shared" ca="1" si="0"/>
        <v>28000</v>
      </c>
      <c r="H9" s="121" t="str">
        <f t="shared" ca="1" si="1"/>
        <v>-</v>
      </c>
      <c r="I9" s="649" t="s">
        <v>692</v>
      </c>
      <c r="J9" s="117">
        <f ca="1">SUM(OFFSET(J17,-1,0):OFFSET(J9,1,0))</f>
        <v>0</v>
      </c>
      <c r="K9" s="117">
        <f ca="1">SUM(OFFSET(K17,-1,0):OFFSET(K9,1,0))</f>
        <v>28000</v>
      </c>
      <c r="L9" s="120">
        <f t="shared" ca="1" si="2"/>
        <v>28000</v>
      </c>
      <c r="M9" s="121" t="str">
        <f t="shared" ca="1" si="3"/>
        <v>-</v>
      </c>
      <c r="N9" s="641"/>
      <c r="O9" s="117">
        <f ca="1">SUM(OFFSET(O17,-1,0):OFFSET(O9,1,0))</f>
        <v>0</v>
      </c>
      <c r="P9" s="117">
        <f ca="1">SUM(OFFSET(P17,-1,0):OFFSET(P9,1,0))</f>
        <v>28000</v>
      </c>
      <c r="Q9" s="120">
        <f t="shared" ca="1" si="4"/>
        <v>28000</v>
      </c>
      <c r="R9" s="121" t="str">
        <f t="shared" ca="1" si="5"/>
        <v>-</v>
      </c>
      <c r="S9" s="641"/>
      <c r="T9" s="117">
        <f ca="1">SUM(OFFSET(T17,-1,0):OFFSET(T9,1,0))</f>
        <v>0</v>
      </c>
      <c r="U9" s="117">
        <f ca="1">SUM(OFFSET(U17,-1,0):OFFSET(U9,1,0))</f>
        <v>28000</v>
      </c>
      <c r="V9" s="120">
        <f t="shared" ca="1" si="6"/>
        <v>28000</v>
      </c>
      <c r="W9" s="121" t="str">
        <f t="shared" ca="1" si="7"/>
        <v>-</v>
      </c>
      <c r="X9" s="649" t="s">
        <v>734</v>
      </c>
    </row>
    <row r="10" spans="1:24" x14ac:dyDescent="0.25">
      <c r="A10" s="205">
        <v>52100</v>
      </c>
      <c r="B10" s="206" t="s">
        <v>475</v>
      </c>
      <c r="C10" s="207">
        <v>265505</v>
      </c>
      <c r="D10" s="207"/>
      <c r="E10" s="103"/>
      <c r="F10" s="103">
        <v>21726</v>
      </c>
      <c r="G10" s="104">
        <f t="shared" si="0"/>
        <v>21726</v>
      </c>
      <c r="H10" s="29" t="str">
        <f t="shared" si="1"/>
        <v>-</v>
      </c>
      <c r="I10" s="650"/>
      <c r="J10" s="103"/>
      <c r="K10" s="103">
        <f>F10</f>
        <v>21726</v>
      </c>
      <c r="L10" s="104">
        <f t="shared" si="2"/>
        <v>21726</v>
      </c>
      <c r="M10" s="29" t="str">
        <f t="shared" si="3"/>
        <v>-</v>
      </c>
      <c r="N10" s="642"/>
      <c r="O10" s="103"/>
      <c r="P10" s="103">
        <v>21726</v>
      </c>
      <c r="Q10" s="104">
        <f t="shared" si="4"/>
        <v>21726</v>
      </c>
      <c r="R10" s="29" t="str">
        <f t="shared" si="5"/>
        <v>-</v>
      </c>
      <c r="S10" s="642"/>
      <c r="T10" s="103"/>
      <c r="U10" s="103">
        <v>21726</v>
      </c>
      <c r="V10" s="104">
        <f t="shared" si="6"/>
        <v>21726</v>
      </c>
      <c r="W10" s="29" t="str">
        <f t="shared" si="7"/>
        <v>-</v>
      </c>
      <c r="X10" s="650"/>
    </row>
    <row r="11" spans="1:24" x14ac:dyDescent="0.25">
      <c r="A11" s="205">
        <v>52200</v>
      </c>
      <c r="B11" s="206" t="s">
        <v>476</v>
      </c>
      <c r="C11" s="207"/>
      <c r="D11" s="207"/>
      <c r="E11" s="103"/>
      <c r="F11" s="103">
        <v>6274</v>
      </c>
      <c r="G11" s="104">
        <f t="shared" si="0"/>
        <v>6274</v>
      </c>
      <c r="H11" s="29" t="str">
        <f t="shared" si="1"/>
        <v>-</v>
      </c>
      <c r="I11" s="650"/>
      <c r="J11" s="103"/>
      <c r="K11" s="103">
        <f>F11</f>
        <v>6274</v>
      </c>
      <c r="L11" s="104">
        <f t="shared" si="2"/>
        <v>6274</v>
      </c>
      <c r="M11" s="29" t="str">
        <f t="shared" si="3"/>
        <v>-</v>
      </c>
      <c r="N11" s="642"/>
      <c r="O11" s="103"/>
      <c r="P11" s="103">
        <v>6274</v>
      </c>
      <c r="Q11" s="104">
        <f t="shared" si="4"/>
        <v>6274</v>
      </c>
      <c r="R11" s="29" t="str">
        <f t="shared" si="5"/>
        <v>-</v>
      </c>
      <c r="S11" s="642"/>
      <c r="T11" s="103"/>
      <c r="U11" s="103">
        <v>6274</v>
      </c>
      <c r="V11" s="104">
        <f t="shared" si="6"/>
        <v>6274</v>
      </c>
      <c r="W11" s="29" t="str">
        <f t="shared" si="7"/>
        <v>-</v>
      </c>
      <c r="X11" s="650"/>
    </row>
    <row r="12" spans="1:24" x14ac:dyDescent="0.25">
      <c r="A12" s="205">
        <v>52300</v>
      </c>
      <c r="B12" s="206" t="s">
        <v>477</v>
      </c>
      <c r="C12" s="207"/>
      <c r="D12" s="207"/>
      <c r="E12" s="103"/>
      <c r="F12" s="103"/>
      <c r="G12" s="104">
        <f t="shared" si="0"/>
        <v>0</v>
      </c>
      <c r="H12" s="29" t="str">
        <f t="shared" si="1"/>
        <v>-</v>
      </c>
      <c r="I12" s="650"/>
      <c r="J12" s="103"/>
      <c r="K12" s="103"/>
      <c r="L12" s="104">
        <f t="shared" si="2"/>
        <v>0</v>
      </c>
      <c r="M12" s="29" t="str">
        <f t="shared" si="3"/>
        <v>-</v>
      </c>
      <c r="N12" s="642"/>
      <c r="O12" s="103"/>
      <c r="P12" s="103"/>
      <c r="Q12" s="104">
        <f t="shared" si="4"/>
        <v>0</v>
      </c>
      <c r="R12" s="29" t="str">
        <f t="shared" si="5"/>
        <v>-</v>
      </c>
      <c r="S12" s="642"/>
      <c r="T12" s="103"/>
      <c r="U12" s="103"/>
      <c r="V12" s="104">
        <f t="shared" si="6"/>
        <v>0</v>
      </c>
      <c r="W12" s="29" t="str">
        <f t="shared" si="7"/>
        <v>-</v>
      </c>
      <c r="X12" s="650"/>
    </row>
    <row r="13" spans="1:24" x14ac:dyDescent="0.25">
      <c r="A13" s="205">
        <v>52400</v>
      </c>
      <c r="B13" s="206" t="s">
        <v>478</v>
      </c>
      <c r="C13" s="207"/>
      <c r="D13" s="207"/>
      <c r="E13" s="103"/>
      <c r="F13" s="103"/>
      <c r="G13" s="104">
        <f t="shared" si="0"/>
        <v>0</v>
      </c>
      <c r="H13" s="29" t="str">
        <f t="shared" si="1"/>
        <v>-</v>
      </c>
      <c r="I13" s="650"/>
      <c r="J13" s="103"/>
      <c r="K13" s="103"/>
      <c r="L13" s="104">
        <f t="shared" si="2"/>
        <v>0</v>
      </c>
      <c r="M13" s="29" t="str">
        <f t="shared" si="3"/>
        <v>-</v>
      </c>
      <c r="N13" s="642"/>
      <c r="O13" s="103"/>
      <c r="P13" s="103"/>
      <c r="Q13" s="104">
        <f t="shared" si="4"/>
        <v>0</v>
      </c>
      <c r="R13" s="29" t="str">
        <f t="shared" si="5"/>
        <v>-</v>
      </c>
      <c r="S13" s="642"/>
      <c r="T13" s="103"/>
      <c r="U13" s="103"/>
      <c r="V13" s="104">
        <f t="shared" si="6"/>
        <v>0</v>
      </c>
      <c r="W13" s="29" t="str">
        <f t="shared" si="7"/>
        <v>-</v>
      </c>
      <c r="X13" s="650"/>
    </row>
    <row r="14" spans="1:24" x14ac:dyDescent="0.25">
      <c r="A14" s="205">
        <v>52500</v>
      </c>
      <c r="B14" s="206" t="s">
        <v>479</v>
      </c>
      <c r="C14" s="207"/>
      <c r="D14" s="207"/>
      <c r="E14" s="103"/>
      <c r="F14" s="103"/>
      <c r="G14" s="104">
        <f t="shared" si="0"/>
        <v>0</v>
      </c>
      <c r="H14" s="29" t="str">
        <f t="shared" si="1"/>
        <v>-</v>
      </c>
      <c r="I14" s="650"/>
      <c r="J14" s="103"/>
      <c r="K14" s="103"/>
      <c r="L14" s="104">
        <f t="shared" si="2"/>
        <v>0</v>
      </c>
      <c r="M14" s="29" t="str">
        <f t="shared" si="3"/>
        <v>-</v>
      </c>
      <c r="N14" s="642"/>
      <c r="O14" s="103"/>
      <c r="P14" s="103"/>
      <c r="Q14" s="104">
        <f t="shared" si="4"/>
        <v>0</v>
      </c>
      <c r="R14" s="29" t="str">
        <f t="shared" si="5"/>
        <v>-</v>
      </c>
      <c r="S14" s="642"/>
      <c r="T14" s="103"/>
      <c r="U14" s="103"/>
      <c r="V14" s="104">
        <f t="shared" si="6"/>
        <v>0</v>
      </c>
      <c r="W14" s="29" t="str">
        <f t="shared" si="7"/>
        <v>-</v>
      </c>
      <c r="X14" s="650"/>
    </row>
    <row r="15" spans="1:24" x14ac:dyDescent="0.25">
      <c r="A15" s="205">
        <v>52600</v>
      </c>
      <c r="B15" s="206" t="s">
        <v>253</v>
      </c>
      <c r="C15" s="207"/>
      <c r="D15" s="207"/>
      <c r="E15" s="103"/>
      <c r="F15" s="103"/>
      <c r="G15" s="104">
        <f t="shared" si="0"/>
        <v>0</v>
      </c>
      <c r="H15" s="29" t="str">
        <f t="shared" si="1"/>
        <v>-</v>
      </c>
      <c r="I15" s="650"/>
      <c r="J15" s="103"/>
      <c r="K15" s="103"/>
      <c r="L15" s="104">
        <f t="shared" si="2"/>
        <v>0</v>
      </c>
      <c r="M15" s="29" t="str">
        <f t="shared" si="3"/>
        <v>-</v>
      </c>
      <c r="N15" s="642"/>
      <c r="O15" s="103"/>
      <c r="P15" s="103"/>
      <c r="Q15" s="104">
        <f t="shared" si="4"/>
        <v>0</v>
      </c>
      <c r="R15" s="29" t="str">
        <f t="shared" si="5"/>
        <v>-</v>
      </c>
      <c r="S15" s="642"/>
      <c r="T15" s="103"/>
      <c r="U15" s="103"/>
      <c r="V15" s="104">
        <f t="shared" si="6"/>
        <v>0</v>
      </c>
      <c r="W15" s="29" t="str">
        <f t="shared" si="7"/>
        <v>-</v>
      </c>
      <c r="X15" s="650"/>
    </row>
    <row r="16" spans="1:24" x14ac:dyDescent="0.25">
      <c r="A16" s="208">
        <v>52700</v>
      </c>
      <c r="B16" s="209" t="s">
        <v>480</v>
      </c>
      <c r="C16" s="207"/>
      <c r="D16" s="207"/>
      <c r="E16" s="103"/>
      <c r="F16" s="103"/>
      <c r="G16" s="104">
        <f t="shared" si="0"/>
        <v>0</v>
      </c>
      <c r="H16" s="29" t="str">
        <f t="shared" si="1"/>
        <v>-</v>
      </c>
      <c r="I16" s="652"/>
      <c r="J16" s="103"/>
      <c r="K16" s="103"/>
      <c r="L16" s="104">
        <f t="shared" si="2"/>
        <v>0</v>
      </c>
      <c r="M16" s="29" t="str">
        <f t="shared" si="3"/>
        <v>-</v>
      </c>
      <c r="N16" s="643"/>
      <c r="O16" s="103"/>
      <c r="P16" s="103"/>
      <c r="Q16" s="104">
        <f t="shared" si="4"/>
        <v>0</v>
      </c>
      <c r="R16" s="29" t="str">
        <f t="shared" si="5"/>
        <v>-</v>
      </c>
      <c r="S16" s="643"/>
      <c r="T16" s="103"/>
      <c r="U16" s="103"/>
      <c r="V16" s="104">
        <f t="shared" si="6"/>
        <v>0</v>
      </c>
      <c r="W16" s="29" t="str">
        <f t="shared" si="7"/>
        <v>-</v>
      </c>
      <c r="X16" s="652"/>
    </row>
    <row r="17" spans="1:24" x14ac:dyDescent="0.25">
      <c r="A17" s="184">
        <v>53000</v>
      </c>
      <c r="B17" s="178" t="s">
        <v>256</v>
      </c>
      <c r="C17" s="117">
        <v>789907</v>
      </c>
      <c r="D17" s="117">
        <f>D18+D27+D28+D31+D36+D37</f>
        <v>207747</v>
      </c>
      <c r="E17" s="117">
        <f>E18+E27+E28+E31+E36+E37</f>
        <v>121322</v>
      </c>
      <c r="F17" s="117">
        <f>F18+F27+F28+F31+F36+F37</f>
        <v>93322</v>
      </c>
      <c r="G17" s="120">
        <f t="shared" si="0"/>
        <v>-28000</v>
      </c>
      <c r="H17" s="121">
        <f t="shared" si="1"/>
        <v>-0.23079078815054152</v>
      </c>
      <c r="I17" s="637" t="s">
        <v>694</v>
      </c>
      <c r="J17" s="117">
        <f>J18+J27+J28+J31+J36+J37</f>
        <v>207747</v>
      </c>
      <c r="K17" s="117">
        <f>K18+K27+K28+K31+K36+K37</f>
        <v>179747</v>
      </c>
      <c r="L17" s="120">
        <f t="shared" si="2"/>
        <v>-28000</v>
      </c>
      <c r="M17" s="121">
        <f t="shared" si="3"/>
        <v>-0.13477932292644418</v>
      </c>
      <c r="N17" s="649" t="s">
        <v>695</v>
      </c>
      <c r="O17" s="117">
        <f>O18+O27+O28+O31+O36+O37</f>
        <v>207747</v>
      </c>
      <c r="P17" s="117">
        <f>P18+P27+P28+P31+P36+P37</f>
        <v>272234</v>
      </c>
      <c r="Q17" s="120">
        <f t="shared" si="4"/>
        <v>64487</v>
      </c>
      <c r="R17" s="121">
        <f t="shared" si="5"/>
        <v>0.31041122134134308</v>
      </c>
      <c r="S17" s="649" t="s">
        <v>715</v>
      </c>
      <c r="T17" s="117">
        <f>T18+T27+T28+T31+T36+T37</f>
        <v>207747</v>
      </c>
      <c r="U17" s="117">
        <f>U18+U27+U28+U31+U36+U37</f>
        <v>474917</v>
      </c>
      <c r="V17" s="120">
        <f t="shared" si="6"/>
        <v>267170</v>
      </c>
      <c r="W17" s="121">
        <f t="shared" si="7"/>
        <v>1.2860354180806461</v>
      </c>
      <c r="X17" s="649" t="s">
        <v>735</v>
      </c>
    </row>
    <row r="18" spans="1:24" x14ac:dyDescent="0.25">
      <c r="A18" s="210">
        <v>53100</v>
      </c>
      <c r="B18" s="211" t="s">
        <v>481</v>
      </c>
      <c r="C18" s="200">
        <v>713490</v>
      </c>
      <c r="D18" s="200">
        <f>D19+D26</f>
        <v>207747</v>
      </c>
      <c r="E18" s="200">
        <f>E19+E26</f>
        <v>121322</v>
      </c>
      <c r="F18" s="200">
        <f>F19</f>
        <v>68997</v>
      </c>
      <c r="G18" s="201">
        <f t="shared" si="0"/>
        <v>-52325</v>
      </c>
      <c r="H18" s="202">
        <f t="shared" si="1"/>
        <v>-0.43129028535632447</v>
      </c>
      <c r="I18" s="638"/>
      <c r="J18" s="200">
        <f>J19+J26</f>
        <v>207747</v>
      </c>
      <c r="K18" s="200">
        <f>K19+K26</f>
        <v>152100</v>
      </c>
      <c r="L18" s="201">
        <f t="shared" si="2"/>
        <v>-55647</v>
      </c>
      <c r="M18" s="202">
        <f t="shared" si="3"/>
        <v>-0.2678594636745657</v>
      </c>
      <c r="N18" s="650"/>
      <c r="O18" s="200">
        <f>O19+O26</f>
        <v>207747</v>
      </c>
      <c r="P18" s="570">
        <v>152100</v>
      </c>
      <c r="Q18" s="201">
        <f t="shared" si="4"/>
        <v>-55647</v>
      </c>
      <c r="R18" s="202">
        <f t="shared" si="5"/>
        <v>-0.2678594636745657</v>
      </c>
      <c r="S18" s="650"/>
      <c r="T18" s="200">
        <f>T19+T26</f>
        <v>207747</v>
      </c>
      <c r="U18" s="570">
        <f>U19+U26</f>
        <v>270512</v>
      </c>
      <c r="V18" s="201">
        <f t="shared" si="6"/>
        <v>62765</v>
      </c>
      <c r="W18" s="202">
        <f t="shared" si="7"/>
        <v>0.30212229298136678</v>
      </c>
      <c r="X18" s="651"/>
    </row>
    <row r="19" spans="1:24" x14ac:dyDescent="0.25">
      <c r="A19" s="205">
        <v>53110</v>
      </c>
      <c r="B19" s="206" t="s">
        <v>411</v>
      </c>
      <c r="C19" s="200"/>
      <c r="D19" s="200">
        <v>207747</v>
      </c>
      <c r="E19" s="200">
        <v>121322</v>
      </c>
      <c r="F19" s="200">
        <f>31447+37550</f>
        <v>68997</v>
      </c>
      <c r="G19" s="201">
        <f t="shared" si="0"/>
        <v>-52325</v>
      </c>
      <c r="H19" s="202">
        <f t="shared" si="1"/>
        <v>-0.43129028535632447</v>
      </c>
      <c r="I19" s="638"/>
      <c r="J19" s="200">
        <v>207747</v>
      </c>
      <c r="K19" s="200">
        <f>F19+62174+22615-16578</f>
        <v>137208</v>
      </c>
      <c r="L19" s="201">
        <f t="shared" si="2"/>
        <v>-70539</v>
      </c>
      <c r="M19" s="202">
        <f t="shared" si="3"/>
        <v>-0.33954280928244451</v>
      </c>
      <c r="N19" s="650"/>
      <c r="O19" s="200">
        <v>207747</v>
      </c>
      <c r="P19" s="200">
        <v>137208</v>
      </c>
      <c r="Q19" s="201">
        <f t="shared" si="4"/>
        <v>-70539</v>
      </c>
      <c r="R19" s="202">
        <f t="shared" si="5"/>
        <v>-0.33954280928244451</v>
      </c>
      <c r="S19" s="650"/>
      <c r="T19" s="200">
        <v>207747</v>
      </c>
      <c r="U19" s="200">
        <f>U20+U21+U22+U23+U24+U25</f>
        <v>255620</v>
      </c>
      <c r="V19" s="201">
        <f t="shared" si="6"/>
        <v>47873</v>
      </c>
      <c r="W19" s="202">
        <f t="shared" si="7"/>
        <v>0.23043894737348794</v>
      </c>
      <c r="X19" s="651"/>
    </row>
    <row r="20" spans="1:24" ht="31.5" x14ac:dyDescent="0.25">
      <c r="A20" s="205"/>
      <c r="B20" s="206" t="s">
        <v>736</v>
      </c>
      <c r="C20" s="200"/>
      <c r="D20" s="200"/>
      <c r="E20" s="200"/>
      <c r="F20" s="200"/>
      <c r="G20" s="201"/>
      <c r="H20" s="202"/>
      <c r="I20" s="638"/>
      <c r="J20" s="200"/>
      <c r="K20" s="200"/>
      <c r="L20" s="201"/>
      <c r="M20" s="202"/>
      <c r="N20" s="650"/>
      <c r="O20" s="200"/>
      <c r="P20" s="200"/>
      <c r="Q20" s="201"/>
      <c r="R20" s="202"/>
      <c r="S20" s="650"/>
      <c r="T20" s="200"/>
      <c r="U20" s="200">
        <v>13723</v>
      </c>
      <c r="V20" s="201"/>
      <c r="W20" s="202"/>
      <c r="X20" s="651"/>
    </row>
    <row r="21" spans="1:24" ht="31.5" x14ac:dyDescent="0.25">
      <c r="A21" s="205"/>
      <c r="B21" s="206" t="s">
        <v>737</v>
      </c>
      <c r="C21" s="200"/>
      <c r="D21" s="200"/>
      <c r="E21" s="200"/>
      <c r="F21" s="200"/>
      <c r="G21" s="201"/>
      <c r="H21" s="202"/>
      <c r="I21" s="638"/>
      <c r="J21" s="200"/>
      <c r="K21" s="200"/>
      <c r="L21" s="201"/>
      <c r="M21" s="202"/>
      <c r="N21" s="650"/>
      <c r="O21" s="200"/>
      <c r="P21" s="200"/>
      <c r="Q21" s="201"/>
      <c r="R21" s="202"/>
      <c r="S21" s="650"/>
      <c r="T21" s="200"/>
      <c r="U21" s="200">
        <v>8543</v>
      </c>
      <c r="V21" s="201"/>
      <c r="W21" s="202"/>
      <c r="X21" s="651"/>
    </row>
    <row r="22" spans="1:24" ht="31.5" x14ac:dyDescent="0.25">
      <c r="A22" s="205"/>
      <c r="B22" s="206" t="s">
        <v>738</v>
      </c>
      <c r="C22" s="200"/>
      <c r="D22" s="200"/>
      <c r="E22" s="200"/>
      <c r="F22" s="200"/>
      <c r="G22" s="201"/>
      <c r="H22" s="202"/>
      <c r="I22" s="638"/>
      <c r="J22" s="200"/>
      <c r="K22" s="200"/>
      <c r="L22" s="201"/>
      <c r="M22" s="202"/>
      <c r="N22" s="650"/>
      <c r="O22" s="200"/>
      <c r="P22" s="200"/>
      <c r="Q22" s="201"/>
      <c r="R22" s="202"/>
      <c r="S22" s="650"/>
      <c r="T22" s="200"/>
      <c r="U22" s="200">
        <v>7042</v>
      </c>
      <c r="V22" s="201"/>
      <c r="W22" s="202"/>
      <c r="X22" s="651"/>
    </row>
    <row r="23" spans="1:24" ht="31.5" x14ac:dyDescent="0.25">
      <c r="A23" s="205"/>
      <c r="B23" s="206" t="s">
        <v>739</v>
      </c>
      <c r="C23" s="200"/>
      <c r="D23" s="200"/>
      <c r="E23" s="200"/>
      <c r="F23" s="200"/>
      <c r="G23" s="201"/>
      <c r="H23" s="202"/>
      <c r="I23" s="638"/>
      <c r="J23" s="200"/>
      <c r="K23" s="200"/>
      <c r="L23" s="201"/>
      <c r="M23" s="202"/>
      <c r="N23" s="650"/>
      <c r="O23" s="200"/>
      <c r="P23" s="200"/>
      <c r="Q23" s="201"/>
      <c r="R23" s="202"/>
      <c r="S23" s="650"/>
      <c r="T23" s="200"/>
      <c r="U23" s="200">
        <v>2568</v>
      </c>
      <c r="V23" s="201"/>
      <c r="W23" s="202"/>
      <c r="X23" s="651"/>
    </row>
    <row r="24" spans="1:24" ht="31.5" x14ac:dyDescent="0.25">
      <c r="A24" s="205"/>
      <c r="B24" s="206" t="s">
        <v>740</v>
      </c>
      <c r="C24" s="200"/>
      <c r="D24" s="200"/>
      <c r="E24" s="200"/>
      <c r="F24" s="200"/>
      <c r="G24" s="201"/>
      <c r="H24" s="202"/>
      <c r="I24" s="638"/>
      <c r="J24" s="200"/>
      <c r="K24" s="200"/>
      <c r="L24" s="201"/>
      <c r="M24" s="202"/>
      <c r="N24" s="650"/>
      <c r="O24" s="200"/>
      <c r="P24" s="200"/>
      <c r="Q24" s="201"/>
      <c r="R24" s="202"/>
      <c r="S24" s="650"/>
      <c r="T24" s="200"/>
      <c r="U24" s="200">
        <v>1730</v>
      </c>
      <c r="V24" s="201"/>
      <c r="W24" s="202"/>
      <c r="X24" s="651"/>
    </row>
    <row r="25" spans="1:24" x14ac:dyDescent="0.25">
      <c r="A25" s="205"/>
      <c r="B25" s="206" t="s">
        <v>741</v>
      </c>
      <c r="C25" s="200"/>
      <c r="D25" s="200"/>
      <c r="E25" s="200"/>
      <c r="F25" s="200"/>
      <c r="G25" s="201"/>
      <c r="H25" s="202"/>
      <c r="I25" s="638"/>
      <c r="J25" s="200"/>
      <c r="K25" s="200"/>
      <c r="L25" s="201"/>
      <c r="M25" s="202"/>
      <c r="N25" s="650"/>
      <c r="O25" s="200"/>
      <c r="P25" s="200"/>
      <c r="Q25" s="201"/>
      <c r="R25" s="202"/>
      <c r="S25" s="650"/>
      <c r="T25" s="200"/>
      <c r="U25" s="200">
        <f>121106-14892+39292-28000+137208-32700</f>
        <v>222014</v>
      </c>
      <c r="V25" s="201"/>
      <c r="W25" s="202"/>
      <c r="X25" s="651"/>
    </row>
    <row r="26" spans="1:24" ht="31.5" x14ac:dyDescent="0.25">
      <c r="A26" s="205">
        <v>53120</v>
      </c>
      <c r="B26" s="206" t="s">
        <v>412</v>
      </c>
      <c r="C26" s="200"/>
      <c r="D26" s="200"/>
      <c r="E26" s="200"/>
      <c r="F26" s="200">
        <v>14892</v>
      </c>
      <c r="G26" s="201">
        <f t="shared" si="0"/>
        <v>14892</v>
      </c>
      <c r="H26" s="202" t="str">
        <f t="shared" si="1"/>
        <v>-</v>
      </c>
      <c r="I26" s="638"/>
      <c r="J26" s="200"/>
      <c r="K26" s="200">
        <f>F26</f>
        <v>14892</v>
      </c>
      <c r="L26" s="201">
        <f t="shared" si="2"/>
        <v>14892</v>
      </c>
      <c r="M26" s="202" t="str">
        <f t="shared" si="3"/>
        <v>-</v>
      </c>
      <c r="N26" s="650"/>
      <c r="O26" s="200"/>
      <c r="P26" s="200">
        <v>14892</v>
      </c>
      <c r="Q26" s="201">
        <f t="shared" si="4"/>
        <v>14892</v>
      </c>
      <c r="R26" s="202" t="str">
        <f t="shared" si="5"/>
        <v>-</v>
      </c>
      <c r="S26" s="650"/>
      <c r="T26" s="200"/>
      <c r="U26" s="200">
        <f>P26</f>
        <v>14892</v>
      </c>
      <c r="V26" s="201">
        <f t="shared" si="6"/>
        <v>14892</v>
      </c>
      <c r="W26" s="202" t="str">
        <f t="shared" si="7"/>
        <v>-</v>
      </c>
      <c r="X26" s="651"/>
    </row>
    <row r="27" spans="1:24" x14ac:dyDescent="0.25">
      <c r="A27" s="205">
        <v>53200</v>
      </c>
      <c r="B27" s="206" t="s">
        <v>482</v>
      </c>
      <c r="C27" s="200"/>
      <c r="D27" s="200"/>
      <c r="E27" s="200"/>
      <c r="F27" s="200"/>
      <c r="G27" s="201">
        <f t="shared" si="0"/>
        <v>0</v>
      </c>
      <c r="H27" s="202" t="str">
        <f t="shared" si="1"/>
        <v>-</v>
      </c>
      <c r="I27" s="638"/>
      <c r="J27" s="200"/>
      <c r="K27" s="200"/>
      <c r="L27" s="201">
        <f t="shared" si="2"/>
        <v>0</v>
      </c>
      <c r="M27" s="202" t="str">
        <f t="shared" si="3"/>
        <v>-</v>
      </c>
      <c r="N27" s="650"/>
      <c r="O27" s="200"/>
      <c r="P27" s="200"/>
      <c r="Q27" s="201">
        <f t="shared" si="4"/>
        <v>0</v>
      </c>
      <c r="R27" s="202" t="str">
        <f t="shared" si="5"/>
        <v>-</v>
      </c>
      <c r="S27" s="650"/>
      <c r="T27" s="200"/>
      <c r="U27" s="200"/>
      <c r="V27" s="201">
        <f t="shared" si="6"/>
        <v>0</v>
      </c>
      <c r="W27" s="202" t="str">
        <f t="shared" si="7"/>
        <v>-</v>
      </c>
      <c r="X27" s="651"/>
    </row>
    <row r="28" spans="1:24" x14ac:dyDescent="0.25">
      <c r="A28" s="205">
        <v>53300</v>
      </c>
      <c r="B28" s="206" t="s">
        <v>483</v>
      </c>
      <c r="C28" s="200">
        <v>62780</v>
      </c>
      <c r="D28" s="200"/>
      <c r="E28" s="200"/>
      <c r="F28" s="200">
        <f>6057+17521-452</f>
        <v>23126</v>
      </c>
      <c r="G28" s="201">
        <f t="shared" si="0"/>
        <v>23126</v>
      </c>
      <c r="H28" s="202" t="str">
        <f t="shared" si="1"/>
        <v>-</v>
      </c>
      <c r="I28" s="638"/>
      <c r="J28" s="200"/>
      <c r="K28" s="200">
        <f>F28</f>
        <v>23126</v>
      </c>
      <c r="L28" s="201">
        <f t="shared" si="2"/>
        <v>23126</v>
      </c>
      <c r="M28" s="202" t="str">
        <f t="shared" si="3"/>
        <v>-</v>
      </c>
      <c r="N28" s="650"/>
      <c r="O28" s="200"/>
      <c r="P28" s="570">
        <v>23126</v>
      </c>
      <c r="Q28" s="201">
        <f t="shared" si="4"/>
        <v>23126</v>
      </c>
      <c r="R28" s="202" t="str">
        <f t="shared" si="5"/>
        <v>-</v>
      </c>
      <c r="S28" s="650"/>
      <c r="T28" s="200"/>
      <c r="U28" s="570">
        <f>U29+U30</f>
        <v>95632</v>
      </c>
      <c r="V28" s="201">
        <f t="shared" si="6"/>
        <v>95632</v>
      </c>
      <c r="W28" s="202" t="str">
        <f t="shared" si="7"/>
        <v>-</v>
      </c>
      <c r="X28" s="651"/>
    </row>
    <row r="29" spans="1:24" ht="31.5" x14ac:dyDescent="0.25">
      <c r="A29" s="205"/>
      <c r="B29" s="206" t="s">
        <v>742</v>
      </c>
      <c r="C29" s="200"/>
      <c r="D29" s="200"/>
      <c r="E29" s="200"/>
      <c r="F29" s="200"/>
      <c r="G29" s="201"/>
      <c r="H29" s="202"/>
      <c r="I29" s="638"/>
      <c r="J29" s="200"/>
      <c r="K29" s="200"/>
      <c r="L29" s="201"/>
      <c r="M29" s="202"/>
      <c r="N29" s="650"/>
      <c r="O29" s="200"/>
      <c r="P29" s="200"/>
      <c r="Q29" s="201"/>
      <c r="R29" s="202"/>
      <c r="S29" s="650"/>
      <c r="T29" s="200"/>
      <c r="U29" s="200">
        <v>11155</v>
      </c>
      <c r="V29" s="201"/>
      <c r="W29" s="202"/>
      <c r="X29" s="651"/>
    </row>
    <row r="30" spans="1:24" ht="47.25" x14ac:dyDescent="0.25">
      <c r="A30" s="205"/>
      <c r="B30" s="206" t="s">
        <v>743</v>
      </c>
      <c r="C30" s="200"/>
      <c r="D30" s="200"/>
      <c r="E30" s="200"/>
      <c r="F30" s="200"/>
      <c r="G30" s="201"/>
      <c r="H30" s="202"/>
      <c r="I30" s="638"/>
      <c r="J30" s="200"/>
      <c r="K30" s="200"/>
      <c r="L30" s="201"/>
      <c r="M30" s="202"/>
      <c r="N30" s="650"/>
      <c r="O30" s="200"/>
      <c r="P30" s="200"/>
      <c r="Q30" s="201"/>
      <c r="R30" s="202"/>
      <c r="S30" s="650"/>
      <c r="T30" s="200"/>
      <c r="U30" s="200">
        <f>61351+23126</f>
        <v>84477</v>
      </c>
      <c r="V30" s="201"/>
      <c r="W30" s="202"/>
      <c r="X30" s="651"/>
    </row>
    <row r="31" spans="1:24" ht="31.5" x14ac:dyDescent="0.25">
      <c r="A31" s="205">
        <v>53400</v>
      </c>
      <c r="B31" s="206" t="s">
        <v>484</v>
      </c>
      <c r="C31" s="200">
        <v>13637</v>
      </c>
      <c r="D31" s="200"/>
      <c r="E31" s="200"/>
      <c r="F31" s="200">
        <f>F33</f>
        <v>1199</v>
      </c>
      <c r="G31" s="201">
        <f t="shared" si="0"/>
        <v>1199</v>
      </c>
      <c r="H31" s="202" t="str">
        <f t="shared" si="1"/>
        <v>-</v>
      </c>
      <c r="I31" s="638"/>
      <c r="J31" s="200"/>
      <c r="K31" s="200">
        <f>K33</f>
        <v>4521</v>
      </c>
      <c r="L31" s="201">
        <f t="shared" si="2"/>
        <v>4521</v>
      </c>
      <c r="M31" s="202" t="str">
        <f t="shared" si="3"/>
        <v>-</v>
      </c>
      <c r="N31" s="650"/>
      <c r="O31" s="200"/>
      <c r="P31" s="570">
        <v>97008</v>
      </c>
      <c r="Q31" s="201">
        <f t="shared" si="4"/>
        <v>97008</v>
      </c>
      <c r="R31" s="202" t="str">
        <f t="shared" si="5"/>
        <v>-</v>
      </c>
      <c r="S31" s="650"/>
      <c r="T31" s="200"/>
      <c r="U31" s="570">
        <f>U33+U34+U35+U32</f>
        <v>108773</v>
      </c>
      <c r="V31" s="201">
        <f t="shared" si="6"/>
        <v>108773</v>
      </c>
      <c r="W31" s="202" t="str">
        <f t="shared" si="7"/>
        <v>-</v>
      </c>
      <c r="X31" s="651"/>
    </row>
    <row r="32" spans="1:24" ht="31.5" x14ac:dyDescent="0.25">
      <c r="A32" s="205"/>
      <c r="B32" s="206" t="s">
        <v>744</v>
      </c>
      <c r="C32" s="200"/>
      <c r="D32" s="200"/>
      <c r="E32" s="200"/>
      <c r="F32" s="200"/>
      <c r="G32" s="201"/>
      <c r="H32" s="202"/>
      <c r="I32" s="638"/>
      <c r="J32" s="200"/>
      <c r="K32" s="200"/>
      <c r="L32" s="201"/>
      <c r="M32" s="202"/>
      <c r="N32" s="650"/>
      <c r="O32" s="200"/>
      <c r="P32" s="200">
        <v>92487</v>
      </c>
      <c r="Q32" s="201">
        <f t="shared" si="4"/>
        <v>92487</v>
      </c>
      <c r="R32" s="202" t="str">
        <f t="shared" si="5"/>
        <v>-</v>
      </c>
      <c r="S32" s="650"/>
      <c r="T32" s="200"/>
      <c r="U32" s="200">
        <v>92487</v>
      </c>
      <c r="V32" s="201"/>
      <c r="W32" s="202"/>
      <c r="X32" s="651"/>
    </row>
    <row r="33" spans="1:24" x14ac:dyDescent="0.25">
      <c r="A33" s="205"/>
      <c r="B33" s="206" t="s">
        <v>745</v>
      </c>
      <c r="C33" s="200"/>
      <c r="D33" s="200"/>
      <c r="E33" s="200"/>
      <c r="F33" s="200">
        <v>1199</v>
      </c>
      <c r="G33" s="201"/>
      <c r="H33" s="202"/>
      <c r="I33" s="638"/>
      <c r="J33" s="200"/>
      <c r="K33" s="200">
        <f>1199+3322</f>
        <v>4521</v>
      </c>
      <c r="L33" s="201"/>
      <c r="M33" s="202"/>
      <c r="N33" s="650"/>
      <c r="O33" s="200"/>
      <c r="P33" s="200">
        <v>4521</v>
      </c>
      <c r="Q33" s="201">
        <f t="shared" si="4"/>
        <v>4521</v>
      </c>
      <c r="R33" s="202" t="str">
        <f t="shared" si="5"/>
        <v>-</v>
      </c>
      <c r="S33" s="650"/>
      <c r="T33" s="200"/>
      <c r="U33" s="200">
        <f>4085+4521</f>
        <v>8606</v>
      </c>
      <c r="V33" s="201"/>
      <c r="W33" s="202"/>
      <c r="X33" s="651"/>
    </row>
    <row r="34" spans="1:24" x14ac:dyDescent="0.25">
      <c r="A34" s="205"/>
      <c r="B34" s="206" t="s">
        <v>746</v>
      </c>
      <c r="C34" s="200"/>
      <c r="D34" s="200"/>
      <c r="E34" s="200"/>
      <c r="F34" s="200"/>
      <c r="G34" s="201"/>
      <c r="H34" s="202"/>
      <c r="I34" s="638"/>
      <c r="J34" s="200"/>
      <c r="K34" s="200"/>
      <c r="L34" s="201"/>
      <c r="M34" s="202"/>
      <c r="N34" s="650"/>
      <c r="O34" s="200"/>
      <c r="P34" s="200"/>
      <c r="Q34" s="201"/>
      <c r="R34" s="202"/>
      <c r="S34" s="650"/>
      <c r="T34" s="200"/>
      <c r="U34" s="200">
        <f>1210+2100</f>
        <v>3310</v>
      </c>
      <c r="V34" s="201"/>
      <c r="W34" s="202"/>
      <c r="X34" s="651"/>
    </row>
    <row r="35" spans="1:24" x14ac:dyDescent="0.25">
      <c r="A35" s="205"/>
      <c r="B35" s="206" t="s">
        <v>747</v>
      </c>
      <c r="C35" s="200"/>
      <c r="D35" s="200"/>
      <c r="E35" s="200"/>
      <c r="F35" s="200"/>
      <c r="G35" s="201"/>
      <c r="H35" s="202"/>
      <c r="I35" s="638"/>
      <c r="J35" s="200"/>
      <c r="K35" s="200"/>
      <c r="L35" s="201"/>
      <c r="M35" s="202"/>
      <c r="N35" s="650"/>
      <c r="O35" s="200"/>
      <c r="P35" s="200"/>
      <c r="Q35" s="201"/>
      <c r="R35" s="202"/>
      <c r="S35" s="650"/>
      <c r="T35" s="200"/>
      <c r="U35" s="200">
        <v>4370</v>
      </c>
      <c r="V35" s="201"/>
      <c r="W35" s="202"/>
      <c r="X35" s="651"/>
    </row>
    <row r="36" spans="1:24" ht="31.5" x14ac:dyDescent="0.25">
      <c r="A36" s="205">
        <v>53500</v>
      </c>
      <c r="B36" s="206" t="s">
        <v>485</v>
      </c>
      <c r="C36" s="200"/>
      <c r="D36" s="200"/>
      <c r="E36" s="200"/>
      <c r="F36" s="200"/>
      <c r="G36" s="201">
        <f t="shared" si="0"/>
        <v>0</v>
      </c>
      <c r="H36" s="202" t="str">
        <f t="shared" si="1"/>
        <v>-</v>
      </c>
      <c r="I36" s="638"/>
      <c r="J36" s="200"/>
      <c r="K36" s="200"/>
      <c r="L36" s="201">
        <f t="shared" si="2"/>
        <v>0</v>
      </c>
      <c r="M36" s="202" t="str">
        <f t="shared" si="3"/>
        <v>-</v>
      </c>
      <c r="N36" s="650"/>
      <c r="O36" s="200"/>
      <c r="P36" s="200"/>
      <c r="Q36" s="201">
        <f t="shared" si="4"/>
        <v>0</v>
      </c>
      <c r="R36" s="202" t="str">
        <f t="shared" si="5"/>
        <v>-</v>
      </c>
      <c r="S36" s="650"/>
      <c r="T36" s="200"/>
      <c r="U36" s="200"/>
      <c r="V36" s="201">
        <f t="shared" si="6"/>
        <v>0</v>
      </c>
      <c r="W36" s="202" t="str">
        <f t="shared" si="7"/>
        <v>-</v>
      </c>
      <c r="X36" s="651"/>
    </row>
    <row r="37" spans="1:24" ht="31.5" x14ac:dyDescent="0.25">
      <c r="A37" s="208">
        <v>53600</v>
      </c>
      <c r="B37" s="209" t="s">
        <v>486</v>
      </c>
      <c r="C37" s="200"/>
      <c r="D37" s="200"/>
      <c r="E37" s="200"/>
      <c r="F37" s="200"/>
      <c r="G37" s="201">
        <f t="shared" si="0"/>
        <v>0</v>
      </c>
      <c r="H37" s="202" t="str">
        <f t="shared" si="1"/>
        <v>-</v>
      </c>
      <c r="I37" s="638"/>
      <c r="J37" s="200"/>
      <c r="K37" s="200"/>
      <c r="L37" s="201">
        <f t="shared" si="2"/>
        <v>0</v>
      </c>
      <c r="M37" s="202" t="str">
        <f t="shared" si="3"/>
        <v>-</v>
      </c>
      <c r="N37" s="650"/>
      <c r="O37" s="200"/>
      <c r="P37" s="200"/>
      <c r="Q37" s="201">
        <f t="shared" si="4"/>
        <v>0</v>
      </c>
      <c r="R37" s="202" t="str">
        <f t="shared" si="5"/>
        <v>-</v>
      </c>
      <c r="S37" s="650"/>
      <c r="T37" s="200"/>
      <c r="U37" s="200"/>
      <c r="V37" s="201">
        <f t="shared" si="6"/>
        <v>0</v>
      </c>
      <c r="W37" s="202" t="str">
        <f t="shared" si="7"/>
        <v>-</v>
      </c>
      <c r="X37" s="651"/>
    </row>
    <row r="38" spans="1:24" x14ac:dyDescent="0.25">
      <c r="A38" s="184">
        <v>50000</v>
      </c>
      <c r="B38" s="178" t="s">
        <v>257</v>
      </c>
      <c r="C38" s="118">
        <v>1088687</v>
      </c>
      <c r="D38" s="118">
        <f ca="1">D3+D17+D9</f>
        <v>207747</v>
      </c>
      <c r="E38" s="118">
        <f ca="1">E3+E17+E9</f>
        <v>121322</v>
      </c>
      <c r="F38" s="118">
        <f ca="1">F3+F17+F9</f>
        <v>121322</v>
      </c>
      <c r="G38" s="119">
        <f t="shared" ca="1" si="0"/>
        <v>0</v>
      </c>
      <c r="H38" s="30">
        <f t="shared" ca="1" si="1"/>
        <v>0</v>
      </c>
      <c r="I38" s="476"/>
      <c r="J38" s="118">
        <f ca="1">J3+J17+J9</f>
        <v>207747</v>
      </c>
      <c r="K38" s="512">
        <f ca="1">K3+K17+K9</f>
        <v>207747</v>
      </c>
      <c r="L38" s="119">
        <f t="shared" ca="1" si="2"/>
        <v>0</v>
      </c>
      <c r="M38" s="30">
        <f t="shared" ca="1" si="3"/>
        <v>0</v>
      </c>
      <c r="N38" s="333"/>
      <c r="O38" s="118">
        <f ca="1">O3+O17+O9</f>
        <v>207747</v>
      </c>
      <c r="P38" s="118">
        <f ca="1">P3+P17+P9</f>
        <v>300234</v>
      </c>
      <c r="Q38" s="119">
        <f t="shared" ca="1" si="4"/>
        <v>92487</v>
      </c>
      <c r="R38" s="30">
        <f t="shared" ca="1" si="5"/>
        <v>0.44519054426778726</v>
      </c>
      <c r="S38" s="650"/>
      <c r="T38" s="118">
        <f ca="1">T3+T17+T9</f>
        <v>207747</v>
      </c>
      <c r="U38" s="118">
        <f ca="1">U3+U17+U9</f>
        <v>539217</v>
      </c>
      <c r="V38" s="119">
        <f t="shared" ca="1" si="6"/>
        <v>331470</v>
      </c>
      <c r="W38" s="30">
        <f t="shared" ca="1" si="7"/>
        <v>1.5955465060867304</v>
      </c>
      <c r="X38" s="333"/>
    </row>
    <row r="39" spans="1:24" x14ac:dyDescent="0.25">
      <c r="A39" s="267"/>
      <c r="B39" s="268"/>
      <c r="C39" s="269"/>
      <c r="S39" s="333"/>
    </row>
    <row r="40" spans="1:24" x14ac:dyDescent="0.25">
      <c r="A40" s="31" t="s">
        <v>441</v>
      </c>
    </row>
    <row r="41" spans="1:24" x14ac:dyDescent="0.25">
      <c r="A41" s="626" t="s">
        <v>445</v>
      </c>
      <c r="B41" s="626"/>
      <c r="C41" s="626"/>
      <c r="D41" s="626"/>
      <c r="E41" s="626"/>
      <c r="F41" s="626"/>
      <c r="G41" s="626"/>
      <c r="H41" s="271"/>
      <c r="I41" s="271"/>
      <c r="J41" s="271"/>
    </row>
    <row r="42" spans="1:24" x14ac:dyDescent="0.25">
      <c r="A42" s="601" t="s">
        <v>406</v>
      </c>
      <c r="B42" s="601"/>
      <c r="C42" s="601"/>
      <c r="D42" s="601"/>
      <c r="E42" s="601"/>
    </row>
    <row r="43" spans="1:24" x14ac:dyDescent="0.25">
      <c r="A43" s="270"/>
      <c r="B43" s="270"/>
      <c r="C43" s="270"/>
      <c r="D43" s="270"/>
    </row>
  </sheetData>
  <sheetProtection formatColumns="0" formatRows="0" insertRows="0" deleteRows="0"/>
  <mergeCells count="14">
    <mergeCell ref="S17:S38"/>
    <mergeCell ref="X17:X37"/>
    <mergeCell ref="A41:G41"/>
    <mergeCell ref="A42:E42"/>
    <mergeCell ref="I3:I8"/>
    <mergeCell ref="I9:I16"/>
    <mergeCell ref="N3:N8"/>
    <mergeCell ref="S3:S8"/>
    <mergeCell ref="X3:X8"/>
    <mergeCell ref="N9:N16"/>
    <mergeCell ref="S9:S16"/>
    <mergeCell ref="X9:X16"/>
    <mergeCell ref="I17:I37"/>
    <mergeCell ref="N17:N37"/>
  </mergeCells>
  <phoneticPr fontId="50" type="noConversion"/>
  <pageMargins left="0.23622047244094491" right="0.23622047244094491" top="0.74803149606299213" bottom="0.74803149606299213" header="0.31496062992125984" footer="0.31496062992125984"/>
  <pageSetup paperSize="9" scale="29" orientation="landscape" r:id="rId1"/>
  <headerFooter>
    <oddHeader xml:space="preserve">&amp;C&amp;"Times New Roman,Bold"&amp;14Ieguldījumu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4DBF-FFBC-40C1-A4FF-7AF98AA06419}">
  <sheetPr>
    <tabColor rgb="FF92D050"/>
  </sheetPr>
  <dimension ref="A1:G121"/>
  <sheetViews>
    <sheetView workbookViewId="0">
      <selection activeCell="H14" sqref="H14"/>
    </sheetView>
  </sheetViews>
  <sheetFormatPr defaultColWidth="9.140625" defaultRowHeight="15.75" x14ac:dyDescent="0.2"/>
  <cols>
    <col min="1" max="1" width="8.7109375" style="511" bestFit="1" customWidth="1"/>
    <col min="2" max="2" width="43.85546875" style="484" customWidth="1"/>
    <col min="3" max="3" width="19.85546875" style="521" customWidth="1"/>
    <col min="4" max="6" width="17.5703125" style="521" customWidth="1"/>
    <col min="7" max="7" width="43.42578125" style="521" customWidth="1"/>
    <col min="8" max="16384" width="9.140625" style="484"/>
  </cols>
  <sheetData>
    <row r="1" spans="1:7" ht="47.25" x14ac:dyDescent="0.2">
      <c r="A1" s="18" t="s">
        <v>586</v>
      </c>
      <c r="B1" s="482" t="s">
        <v>510</v>
      </c>
      <c r="C1" s="482" t="s">
        <v>587</v>
      </c>
      <c r="D1" s="482" t="s">
        <v>588</v>
      </c>
      <c r="E1" s="482" t="s">
        <v>589</v>
      </c>
      <c r="F1" s="482" t="s">
        <v>590</v>
      </c>
      <c r="G1" s="483" t="s">
        <v>591</v>
      </c>
    </row>
    <row r="2" spans="1:7" ht="12" customHeight="1" x14ac:dyDescent="0.2">
      <c r="A2" s="18" t="s">
        <v>592</v>
      </c>
      <c r="B2" s="482">
        <v>2</v>
      </c>
      <c r="C2" s="482">
        <v>3</v>
      </c>
      <c r="D2" s="482">
        <v>4</v>
      </c>
      <c r="E2" s="482">
        <v>5</v>
      </c>
      <c r="F2" s="482">
        <v>6</v>
      </c>
      <c r="G2" s="483">
        <v>7</v>
      </c>
    </row>
    <row r="3" spans="1:7" s="488" customFormat="1" ht="18" customHeight="1" x14ac:dyDescent="0.2">
      <c r="A3" s="485"/>
      <c r="B3" s="486" t="s">
        <v>306</v>
      </c>
      <c r="C3" s="487">
        <f>C4+C27</f>
        <v>8799542.7899999991</v>
      </c>
      <c r="D3" s="571"/>
      <c r="E3" s="571"/>
      <c r="F3" s="571"/>
      <c r="G3" s="571"/>
    </row>
    <row r="4" spans="1:7" s="488" customFormat="1" ht="18" customHeight="1" x14ac:dyDescent="0.2">
      <c r="A4" s="489" t="s">
        <v>593</v>
      </c>
      <c r="B4" s="57" t="s">
        <v>307</v>
      </c>
      <c r="C4" s="524">
        <f>C5+C9+C13+C23</f>
        <v>5471854</v>
      </c>
      <c r="D4" s="539"/>
      <c r="E4" s="540"/>
      <c r="F4" s="541"/>
      <c r="G4" s="541"/>
    </row>
    <row r="5" spans="1:7" s="488" customFormat="1" ht="18" customHeight="1" x14ac:dyDescent="0.2">
      <c r="A5" s="490" t="s">
        <v>594</v>
      </c>
      <c r="B5" s="491" t="s">
        <v>308</v>
      </c>
      <c r="C5" s="516"/>
      <c r="D5" s="533"/>
      <c r="E5" s="534"/>
      <c r="F5" s="535"/>
      <c r="G5" s="535"/>
    </row>
    <row r="6" spans="1:7" s="488" customFormat="1" ht="18" customHeight="1" x14ac:dyDescent="0.2">
      <c r="A6" s="493" t="s">
        <v>595</v>
      </c>
      <c r="B6" s="17" t="s">
        <v>596</v>
      </c>
      <c r="C6" s="517"/>
      <c r="D6" s="530"/>
      <c r="E6" s="531"/>
      <c r="F6" s="532"/>
      <c r="G6" s="532"/>
    </row>
    <row r="7" spans="1:7" s="488" customFormat="1" ht="18" customHeight="1" x14ac:dyDescent="0.2">
      <c r="A7" s="493" t="s">
        <v>597</v>
      </c>
      <c r="B7" s="17" t="s">
        <v>596</v>
      </c>
      <c r="C7" s="517"/>
      <c r="D7" s="530"/>
      <c r="E7" s="531"/>
      <c r="F7" s="532"/>
      <c r="G7" s="532"/>
    </row>
    <row r="8" spans="1:7" s="488" customFormat="1" ht="18" customHeight="1" x14ac:dyDescent="0.2">
      <c r="A8" s="493" t="s">
        <v>598</v>
      </c>
      <c r="B8" s="17" t="s">
        <v>596</v>
      </c>
      <c r="C8" s="517"/>
      <c r="D8" s="530"/>
      <c r="E8" s="531"/>
      <c r="F8" s="532"/>
      <c r="G8" s="532"/>
    </row>
    <row r="9" spans="1:7" s="488" customFormat="1" ht="18" customHeight="1" x14ac:dyDescent="0.2">
      <c r="A9" s="490" t="s">
        <v>599</v>
      </c>
      <c r="B9" s="491" t="s">
        <v>309</v>
      </c>
      <c r="C9" s="516"/>
      <c r="D9" s="533"/>
      <c r="E9" s="534"/>
      <c r="F9" s="535"/>
      <c r="G9" s="535"/>
    </row>
    <row r="10" spans="1:7" s="488" customFormat="1" ht="18" customHeight="1" x14ac:dyDescent="0.2">
      <c r="A10" s="493" t="s">
        <v>600</v>
      </c>
      <c r="B10" s="17" t="s">
        <v>596</v>
      </c>
      <c r="C10" s="517"/>
      <c r="D10" s="530"/>
      <c r="E10" s="531"/>
      <c r="F10" s="532"/>
      <c r="G10" s="532"/>
    </row>
    <row r="11" spans="1:7" s="488" customFormat="1" ht="18" customHeight="1" x14ac:dyDescent="0.2">
      <c r="A11" s="493" t="s">
        <v>601</v>
      </c>
      <c r="B11" s="17" t="s">
        <v>596</v>
      </c>
      <c r="C11" s="517"/>
      <c r="D11" s="530"/>
      <c r="E11" s="531"/>
      <c r="F11" s="532"/>
      <c r="G11" s="532"/>
    </row>
    <row r="12" spans="1:7" s="488" customFormat="1" ht="18" customHeight="1" x14ac:dyDescent="0.2">
      <c r="A12" s="493" t="s">
        <v>598</v>
      </c>
      <c r="B12" s="17" t="s">
        <v>596</v>
      </c>
      <c r="C12" s="517"/>
      <c r="D12" s="530"/>
      <c r="E12" s="531"/>
      <c r="F12" s="532"/>
      <c r="G12" s="532"/>
    </row>
    <row r="13" spans="1:7" s="488" customFormat="1" ht="18" customHeight="1" x14ac:dyDescent="0.2">
      <c r="A13" s="490" t="s">
        <v>602</v>
      </c>
      <c r="B13" s="491" t="s">
        <v>310</v>
      </c>
      <c r="C13" s="498">
        <f>C14+C15+C16+C17+C18+C19+C20+C21</f>
        <v>5423214</v>
      </c>
      <c r="D13" s="533"/>
      <c r="E13" s="534"/>
      <c r="F13" s="535"/>
      <c r="G13" s="535"/>
    </row>
    <row r="14" spans="1:7" s="488" customFormat="1" ht="31.5" x14ac:dyDescent="0.2">
      <c r="A14" s="493" t="s">
        <v>603</v>
      </c>
      <c r="B14" s="17" t="s">
        <v>604</v>
      </c>
      <c r="C14" s="522">
        <v>319419</v>
      </c>
      <c r="D14" s="530"/>
      <c r="E14" s="531"/>
      <c r="F14" s="532"/>
      <c r="G14" s="532"/>
    </row>
    <row r="15" spans="1:7" s="488" customFormat="1" ht="31.5" x14ac:dyDescent="0.2">
      <c r="A15" s="493" t="s">
        <v>605</v>
      </c>
      <c r="B15" s="17" t="s">
        <v>606</v>
      </c>
      <c r="C15" s="522">
        <v>1171949</v>
      </c>
      <c r="D15" s="530"/>
      <c r="E15" s="531"/>
      <c r="F15" s="532"/>
      <c r="G15" s="532"/>
    </row>
    <row r="16" spans="1:7" s="488" customFormat="1" ht="31.5" x14ac:dyDescent="0.2">
      <c r="A16" s="493" t="s">
        <v>598</v>
      </c>
      <c r="B16" s="17" t="s">
        <v>607</v>
      </c>
      <c r="C16" s="522">
        <v>2027441</v>
      </c>
      <c r="D16" s="530"/>
      <c r="E16" s="531"/>
      <c r="F16" s="532"/>
      <c r="G16" s="532"/>
    </row>
    <row r="17" spans="1:7" s="488" customFormat="1" ht="31.5" x14ac:dyDescent="0.2">
      <c r="A17" s="493"/>
      <c r="B17" s="17" t="s">
        <v>608</v>
      </c>
      <c r="C17" s="522">
        <v>1095646</v>
      </c>
      <c r="D17" s="530"/>
      <c r="E17" s="531"/>
      <c r="F17" s="532"/>
      <c r="G17" s="532"/>
    </row>
    <row r="18" spans="1:7" s="488" customFormat="1" ht="18" customHeight="1" x14ac:dyDescent="0.2">
      <c r="A18" s="493"/>
      <c r="B18" s="17" t="s">
        <v>609</v>
      </c>
      <c r="C18" s="522">
        <v>725226</v>
      </c>
      <c r="D18" s="530"/>
      <c r="E18" s="531"/>
      <c r="F18" s="532"/>
      <c r="G18" s="532"/>
    </row>
    <row r="19" spans="1:7" s="488" customFormat="1" ht="18" customHeight="1" x14ac:dyDescent="0.2">
      <c r="A19" s="493"/>
      <c r="B19" s="17" t="s">
        <v>610</v>
      </c>
      <c r="C19" s="522">
        <v>46222</v>
      </c>
      <c r="D19" s="530"/>
      <c r="E19" s="531"/>
      <c r="F19" s="532"/>
      <c r="G19" s="532"/>
    </row>
    <row r="20" spans="1:7" s="488" customFormat="1" ht="18" customHeight="1" x14ac:dyDescent="0.2">
      <c r="A20" s="493"/>
      <c r="B20" s="17" t="s">
        <v>611</v>
      </c>
      <c r="C20" s="522">
        <v>37154</v>
      </c>
      <c r="D20" s="530"/>
      <c r="E20" s="531"/>
      <c r="F20" s="532"/>
      <c r="G20" s="532"/>
    </row>
    <row r="21" spans="1:7" s="488" customFormat="1" ht="18" customHeight="1" x14ac:dyDescent="0.2">
      <c r="A21" s="493"/>
      <c r="B21" s="17" t="s">
        <v>612</v>
      </c>
      <c r="C21" s="522">
        <v>157</v>
      </c>
      <c r="D21" s="530"/>
      <c r="E21" s="531"/>
      <c r="F21" s="532"/>
      <c r="G21" s="532"/>
    </row>
    <row r="22" spans="1:7" s="488" customFormat="1" ht="18" customHeight="1" x14ac:dyDescent="0.2">
      <c r="A22" s="493"/>
      <c r="B22" s="17"/>
      <c r="C22" s="522"/>
      <c r="D22" s="530"/>
      <c r="E22" s="531"/>
      <c r="F22" s="532"/>
      <c r="G22" s="532"/>
    </row>
    <row r="23" spans="1:7" s="488" customFormat="1" ht="18" customHeight="1" x14ac:dyDescent="0.2">
      <c r="A23" s="490" t="s">
        <v>613</v>
      </c>
      <c r="B23" s="491" t="s">
        <v>614</v>
      </c>
      <c r="C23" s="498">
        <f>C24+C25</f>
        <v>48640</v>
      </c>
      <c r="D23" s="533"/>
      <c r="E23" s="534"/>
      <c r="F23" s="535"/>
      <c r="G23" s="535"/>
    </row>
    <row r="24" spans="1:7" s="488" customFormat="1" ht="18" customHeight="1" x14ac:dyDescent="0.2">
      <c r="A24" s="495" t="s">
        <v>615</v>
      </c>
      <c r="B24" s="16" t="s">
        <v>616</v>
      </c>
      <c r="C24" s="523">
        <v>19048</v>
      </c>
      <c r="D24" s="536"/>
      <c r="E24" s="537"/>
      <c r="F24" s="538"/>
      <c r="G24" s="496" t="s">
        <v>617</v>
      </c>
    </row>
    <row r="25" spans="1:7" s="488" customFormat="1" ht="18" customHeight="1" x14ac:dyDescent="0.2">
      <c r="A25" s="495" t="s">
        <v>618</v>
      </c>
      <c r="B25" s="16" t="s">
        <v>619</v>
      </c>
      <c r="C25" s="523">
        <v>29592</v>
      </c>
      <c r="D25" s="536"/>
      <c r="E25" s="537"/>
      <c r="F25" s="538"/>
      <c r="G25" s="496" t="s">
        <v>617</v>
      </c>
    </row>
    <row r="26" spans="1:7" s="488" customFormat="1" ht="18" customHeight="1" x14ac:dyDescent="0.2">
      <c r="A26" s="495" t="s">
        <v>598</v>
      </c>
      <c r="B26" s="16" t="s">
        <v>596</v>
      </c>
      <c r="C26" s="518"/>
      <c r="D26" s="536"/>
      <c r="E26" s="537"/>
      <c r="F26" s="538"/>
      <c r="G26" s="538"/>
    </row>
    <row r="27" spans="1:7" s="488" customFormat="1" ht="18" customHeight="1" x14ac:dyDescent="0.2">
      <c r="A27" s="489" t="s">
        <v>620</v>
      </c>
      <c r="B27" s="57" t="s">
        <v>311</v>
      </c>
      <c r="C27" s="524">
        <f>C28+C32+C36+C46+C55+C61+C66+C76</f>
        <v>3327688.79</v>
      </c>
      <c r="D27" s="539"/>
      <c r="E27" s="540"/>
      <c r="F27" s="541"/>
      <c r="G27" s="541"/>
    </row>
    <row r="28" spans="1:7" s="488" customFormat="1" ht="18" customHeight="1" x14ac:dyDescent="0.2">
      <c r="A28" s="490" t="s">
        <v>621</v>
      </c>
      <c r="B28" s="491" t="s">
        <v>308</v>
      </c>
      <c r="C28" s="516"/>
      <c r="D28" s="533"/>
      <c r="E28" s="534"/>
      <c r="F28" s="535"/>
      <c r="G28" s="535"/>
    </row>
    <row r="29" spans="1:7" s="488" customFormat="1" ht="18" customHeight="1" x14ac:dyDescent="0.2">
      <c r="A29" s="495" t="s">
        <v>622</v>
      </c>
      <c r="B29" s="16" t="s">
        <v>596</v>
      </c>
      <c r="C29" s="518"/>
      <c r="D29" s="536"/>
      <c r="E29" s="537"/>
      <c r="F29" s="538"/>
      <c r="G29" s="538"/>
    </row>
    <row r="30" spans="1:7" s="488" customFormat="1" ht="18" customHeight="1" x14ac:dyDescent="0.2">
      <c r="A30" s="495" t="s">
        <v>623</v>
      </c>
      <c r="B30" s="16" t="s">
        <v>596</v>
      </c>
      <c r="C30" s="518"/>
      <c r="D30" s="536"/>
      <c r="E30" s="537"/>
      <c r="F30" s="538"/>
      <c r="G30" s="538"/>
    </row>
    <row r="31" spans="1:7" s="488" customFormat="1" ht="18" customHeight="1" x14ac:dyDescent="0.2">
      <c r="A31" s="495" t="s">
        <v>598</v>
      </c>
      <c r="B31" s="16" t="s">
        <v>596</v>
      </c>
      <c r="C31" s="518"/>
      <c r="D31" s="536"/>
      <c r="E31" s="537"/>
      <c r="F31" s="538"/>
      <c r="G31" s="538"/>
    </row>
    <row r="32" spans="1:7" s="488" customFormat="1" ht="18" customHeight="1" x14ac:dyDescent="0.2">
      <c r="A32" s="490" t="s">
        <v>624</v>
      </c>
      <c r="B32" s="491" t="s">
        <v>309</v>
      </c>
      <c r="C32" s="516"/>
      <c r="D32" s="534"/>
      <c r="E32" s="534"/>
      <c r="F32" s="535"/>
      <c r="G32" s="535"/>
    </row>
    <row r="33" spans="1:7" s="488" customFormat="1" ht="18" customHeight="1" x14ac:dyDescent="0.2">
      <c r="A33" s="493" t="s">
        <v>625</v>
      </c>
      <c r="B33" s="17" t="s">
        <v>596</v>
      </c>
      <c r="C33" s="517"/>
      <c r="D33" s="531"/>
      <c r="E33" s="531"/>
      <c r="F33" s="532"/>
      <c r="G33" s="532"/>
    </row>
    <row r="34" spans="1:7" s="488" customFormat="1" ht="18" customHeight="1" x14ac:dyDescent="0.2">
      <c r="A34" s="493" t="s">
        <v>626</v>
      </c>
      <c r="B34" s="17" t="s">
        <v>596</v>
      </c>
      <c r="C34" s="517"/>
      <c r="D34" s="531"/>
      <c r="E34" s="531"/>
      <c r="F34" s="532"/>
      <c r="G34" s="532"/>
    </row>
    <row r="35" spans="1:7" s="488" customFormat="1" ht="18" customHeight="1" x14ac:dyDescent="0.2">
      <c r="A35" s="493" t="s">
        <v>598</v>
      </c>
      <c r="B35" s="17" t="s">
        <v>596</v>
      </c>
      <c r="C35" s="517"/>
      <c r="D35" s="531"/>
      <c r="E35" s="531"/>
      <c r="F35" s="532"/>
      <c r="G35" s="532"/>
    </row>
    <row r="36" spans="1:7" s="488" customFormat="1" ht="18" customHeight="1" x14ac:dyDescent="0.2">
      <c r="A36" s="490" t="s">
        <v>627</v>
      </c>
      <c r="B36" s="491" t="s">
        <v>748</v>
      </c>
      <c r="C36" s="498">
        <f>C37</f>
        <v>16429</v>
      </c>
      <c r="D36" s="499"/>
      <c r="E36" s="529"/>
      <c r="F36" s="492"/>
      <c r="G36" s="492"/>
    </row>
    <row r="37" spans="1:7" s="488" customFormat="1" ht="47.25" x14ac:dyDescent="0.2">
      <c r="A37" s="495" t="s">
        <v>628</v>
      </c>
      <c r="B37" s="17" t="s">
        <v>749</v>
      </c>
      <c r="C37" s="522">
        <v>16429</v>
      </c>
      <c r="D37" s="529"/>
      <c r="E37" s="529"/>
      <c r="F37" s="494"/>
      <c r="G37" s="494" t="s">
        <v>750</v>
      </c>
    </row>
    <row r="38" spans="1:7" s="488" customFormat="1" ht="18" customHeight="1" x14ac:dyDescent="0.2">
      <c r="A38" s="495" t="s">
        <v>629</v>
      </c>
      <c r="B38" s="491"/>
      <c r="C38" s="516"/>
      <c r="D38" s="534"/>
      <c r="E38" s="531"/>
      <c r="F38" s="535"/>
      <c r="G38" s="535"/>
    </row>
    <row r="39" spans="1:7" s="488" customFormat="1" ht="18" customHeight="1" x14ac:dyDescent="0.2">
      <c r="A39" s="495" t="s">
        <v>598</v>
      </c>
      <c r="B39" s="491"/>
      <c r="C39" s="516"/>
      <c r="D39" s="534"/>
      <c r="E39" s="531"/>
      <c r="F39" s="535"/>
      <c r="G39" s="535"/>
    </row>
    <row r="40" spans="1:7" s="488" customFormat="1" ht="18" customHeight="1" x14ac:dyDescent="0.2">
      <c r="A40" s="490"/>
      <c r="B40" s="491"/>
      <c r="C40" s="516"/>
      <c r="D40" s="534"/>
      <c r="E40" s="531"/>
      <c r="F40" s="535"/>
      <c r="G40" s="535"/>
    </row>
    <row r="41" spans="1:7" s="488" customFormat="1" ht="18" customHeight="1" x14ac:dyDescent="0.25">
      <c r="A41" s="572"/>
      <c r="B41" s="497"/>
      <c r="C41" s="573"/>
      <c r="D41" s="537"/>
      <c r="E41" s="537"/>
      <c r="F41" s="538"/>
      <c r="G41" s="538"/>
    </row>
    <row r="42" spans="1:7" s="488" customFormat="1" ht="18" customHeight="1" x14ac:dyDescent="0.25">
      <c r="A42" s="572"/>
      <c r="B42" s="497"/>
      <c r="C42" s="573"/>
      <c r="D42" s="537"/>
      <c r="E42" s="537"/>
      <c r="F42" s="538"/>
      <c r="G42" s="538"/>
    </row>
    <row r="43" spans="1:7" s="488" customFormat="1" ht="18" customHeight="1" x14ac:dyDescent="0.25">
      <c r="A43" s="572"/>
      <c r="B43" s="497"/>
      <c r="C43" s="573"/>
      <c r="D43" s="543"/>
      <c r="E43" s="543"/>
      <c r="F43" s="544"/>
      <c r="G43" s="544"/>
    </row>
    <row r="44" spans="1:7" s="488" customFormat="1" ht="18" customHeight="1" x14ac:dyDescent="0.25">
      <c r="A44" s="495"/>
      <c r="B44" s="497"/>
      <c r="C44" s="573"/>
      <c r="D44" s="543"/>
      <c r="E44" s="543"/>
      <c r="F44" s="544"/>
      <c r="G44" s="544"/>
    </row>
    <row r="45" spans="1:7" s="488" customFormat="1" ht="18" customHeight="1" x14ac:dyDescent="0.25">
      <c r="A45" s="495"/>
      <c r="B45" s="497" t="s">
        <v>699</v>
      </c>
      <c r="C45" s="518"/>
      <c r="D45" s="543"/>
      <c r="E45" s="543"/>
      <c r="F45" s="544"/>
      <c r="G45" s="544"/>
    </row>
    <row r="46" spans="1:7" s="488" customFormat="1" ht="42" customHeight="1" x14ac:dyDescent="0.2">
      <c r="A46" s="490" t="s">
        <v>630</v>
      </c>
      <c r="B46" s="491" t="s">
        <v>631</v>
      </c>
      <c r="C46" s="498">
        <f>C47+C48+C49+C50+C51+C52</f>
        <v>1467481.79</v>
      </c>
      <c r="D46" s="499">
        <f>D47+D48+D49+D50+D51+D52</f>
        <v>423339.26</v>
      </c>
      <c r="E46" s="499">
        <f>E47+E48+E49+E50+E51+E52</f>
        <v>423339.28</v>
      </c>
      <c r="F46" s="492"/>
      <c r="G46" s="492"/>
    </row>
    <row r="47" spans="1:7" s="488" customFormat="1" ht="18" customHeight="1" x14ac:dyDescent="0.25">
      <c r="A47" s="493" t="s">
        <v>632</v>
      </c>
      <c r="B47" s="574" t="s">
        <v>633</v>
      </c>
      <c r="C47" s="545">
        <v>552293.35</v>
      </c>
      <c r="D47" s="529">
        <v>304653.3</v>
      </c>
      <c r="E47" s="545">
        <v>304653</v>
      </c>
      <c r="F47" s="494"/>
      <c r="G47" s="494" t="s">
        <v>700</v>
      </c>
    </row>
    <row r="48" spans="1:7" s="488" customFormat="1" ht="18" customHeight="1" x14ac:dyDescent="0.25">
      <c r="A48" s="493" t="s">
        <v>634</v>
      </c>
      <c r="B48" s="574" t="s">
        <v>635</v>
      </c>
      <c r="C48" s="545">
        <v>112271.86</v>
      </c>
      <c r="D48" s="529">
        <v>46413.68</v>
      </c>
      <c r="E48" s="545">
        <v>46414</v>
      </c>
      <c r="F48" s="545"/>
      <c r="G48" s="494" t="s">
        <v>700</v>
      </c>
    </row>
    <row r="49" spans="1:7" s="488" customFormat="1" ht="18" customHeight="1" x14ac:dyDescent="0.25">
      <c r="A49" s="493"/>
      <c r="B49" s="574" t="s">
        <v>701</v>
      </c>
      <c r="C49" s="545">
        <v>90404.25</v>
      </c>
      <c r="D49" s="529">
        <v>41378.57</v>
      </c>
      <c r="E49" s="545">
        <v>41378.57</v>
      </c>
      <c r="F49" s="545"/>
      <c r="G49" s="494" t="s">
        <v>700</v>
      </c>
    </row>
    <row r="50" spans="1:7" s="488" customFormat="1" ht="18" customHeight="1" x14ac:dyDescent="0.25">
      <c r="A50" s="493"/>
      <c r="B50" s="574" t="s">
        <v>636</v>
      </c>
      <c r="C50" s="545">
        <v>89965.33</v>
      </c>
      <c r="D50" s="529">
        <v>29850.71</v>
      </c>
      <c r="E50" s="545">
        <v>29850.71</v>
      </c>
      <c r="F50" s="545"/>
      <c r="G50" s="494" t="s">
        <v>700</v>
      </c>
    </row>
    <row r="51" spans="1:7" s="488" customFormat="1" ht="18" customHeight="1" x14ac:dyDescent="0.25">
      <c r="A51" s="493"/>
      <c r="B51" s="575" t="s">
        <v>751</v>
      </c>
      <c r="C51" s="545">
        <v>48669</v>
      </c>
      <c r="D51" s="545"/>
      <c r="E51" s="545"/>
      <c r="F51" s="494"/>
      <c r="G51" s="494" t="s">
        <v>617</v>
      </c>
    </row>
    <row r="52" spans="1:7" s="488" customFormat="1" ht="18" customHeight="1" x14ac:dyDescent="0.25">
      <c r="A52" s="493"/>
      <c r="B52" s="575" t="s">
        <v>752</v>
      </c>
      <c r="C52" s="545">
        <v>573878</v>
      </c>
      <c r="D52" s="545">
        <v>1043</v>
      </c>
      <c r="E52" s="545">
        <v>1043</v>
      </c>
      <c r="F52" s="494"/>
      <c r="G52" s="494"/>
    </row>
    <row r="53" spans="1:7" s="488" customFormat="1" ht="18" customHeight="1" x14ac:dyDescent="0.2">
      <c r="A53" s="493"/>
      <c r="B53" s="575"/>
      <c r="C53" s="576"/>
      <c r="D53" s="542"/>
      <c r="E53" s="542"/>
      <c r="F53" s="577"/>
      <c r="G53" s="577"/>
    </row>
    <row r="54" spans="1:7" s="488" customFormat="1" ht="18" customHeight="1" x14ac:dyDescent="0.2">
      <c r="A54" s="493"/>
      <c r="B54" s="17"/>
      <c r="C54" s="517"/>
      <c r="D54" s="531"/>
      <c r="E54" s="531"/>
      <c r="F54" s="532"/>
      <c r="G54" s="532"/>
    </row>
    <row r="55" spans="1:7" s="488" customFormat="1" ht="18" customHeight="1" x14ac:dyDescent="0.2">
      <c r="A55" s="490" t="s">
        <v>637</v>
      </c>
      <c r="B55" s="491" t="s">
        <v>638</v>
      </c>
      <c r="C55" s="498">
        <f>C56+C57+C58+C59+C60</f>
        <v>593722</v>
      </c>
      <c r="D55" s="534"/>
      <c r="E55" s="534"/>
      <c r="F55" s="535"/>
      <c r="G55" s="535"/>
    </row>
    <row r="56" spans="1:7" s="488" customFormat="1" ht="18" customHeight="1" x14ac:dyDescent="0.2">
      <c r="A56" s="493" t="s">
        <v>639</v>
      </c>
      <c r="B56" s="17" t="s">
        <v>640</v>
      </c>
      <c r="C56" s="522">
        <v>334564</v>
      </c>
      <c r="D56" s="531"/>
      <c r="E56" s="531"/>
      <c r="F56" s="532"/>
      <c r="G56" s="532"/>
    </row>
    <row r="57" spans="1:7" s="488" customFormat="1" ht="18" customHeight="1" x14ac:dyDescent="0.2">
      <c r="A57" s="493" t="s">
        <v>641</v>
      </c>
      <c r="B57" s="17" t="s">
        <v>642</v>
      </c>
      <c r="C57" s="522">
        <v>228603</v>
      </c>
      <c r="D57" s="531"/>
      <c r="E57" s="531"/>
      <c r="F57" s="532"/>
      <c r="G57" s="532"/>
    </row>
    <row r="58" spans="1:7" s="488" customFormat="1" ht="18" customHeight="1" x14ac:dyDescent="0.2">
      <c r="A58" s="493" t="s">
        <v>702</v>
      </c>
      <c r="B58" s="17" t="s">
        <v>643</v>
      </c>
      <c r="C58" s="522">
        <v>31580</v>
      </c>
      <c r="D58" s="531"/>
      <c r="E58" s="531"/>
      <c r="F58" s="532"/>
      <c r="G58" s="532"/>
    </row>
    <row r="59" spans="1:7" s="488" customFormat="1" ht="18" customHeight="1" x14ac:dyDescent="0.2">
      <c r="A59" s="493" t="s">
        <v>703</v>
      </c>
      <c r="B59" s="17" t="s">
        <v>644</v>
      </c>
      <c r="C59" s="522">
        <v>230</v>
      </c>
      <c r="D59" s="531"/>
      <c r="E59" s="531"/>
      <c r="F59" s="532"/>
      <c r="G59" s="532"/>
    </row>
    <row r="60" spans="1:7" s="488" customFormat="1" ht="18" customHeight="1" x14ac:dyDescent="0.2">
      <c r="A60" s="493"/>
      <c r="B60" s="17" t="s">
        <v>753</v>
      </c>
      <c r="C60" s="522">
        <v>-1255</v>
      </c>
      <c r="D60" s="531"/>
      <c r="E60" s="531"/>
      <c r="F60" s="532"/>
      <c r="G60" s="532"/>
    </row>
    <row r="61" spans="1:7" s="488" customFormat="1" ht="18.600000000000001" customHeight="1" x14ac:dyDescent="0.2">
      <c r="A61" s="490" t="s">
        <v>645</v>
      </c>
      <c r="B61" s="491" t="s">
        <v>646</v>
      </c>
      <c r="C61" s="498">
        <f>C62+C63</f>
        <v>67654</v>
      </c>
      <c r="D61" s="534"/>
      <c r="E61" s="534"/>
      <c r="F61" s="535"/>
      <c r="G61" s="535"/>
    </row>
    <row r="62" spans="1:7" s="488" customFormat="1" ht="18" customHeight="1" x14ac:dyDescent="0.2">
      <c r="A62" s="493" t="s">
        <v>647</v>
      </c>
      <c r="B62" s="17" t="s">
        <v>648</v>
      </c>
      <c r="C62" s="522">
        <v>65003</v>
      </c>
      <c r="D62" s="531"/>
      <c r="E62" s="531"/>
      <c r="F62" s="532"/>
      <c r="G62" s="532"/>
    </row>
    <row r="63" spans="1:7" s="488" customFormat="1" ht="18" customHeight="1" x14ac:dyDescent="0.2">
      <c r="A63" s="493" t="s">
        <v>649</v>
      </c>
      <c r="B63" s="17" t="s">
        <v>650</v>
      </c>
      <c r="C63" s="522">
        <v>2651</v>
      </c>
      <c r="D63" s="531"/>
      <c r="E63" s="531"/>
      <c r="F63" s="532"/>
      <c r="G63" s="532"/>
    </row>
    <row r="64" spans="1:7" s="488" customFormat="1" ht="18" customHeight="1" x14ac:dyDescent="0.2">
      <c r="A64" s="493" t="s">
        <v>598</v>
      </c>
      <c r="B64" s="17" t="s">
        <v>596</v>
      </c>
      <c r="C64" s="517"/>
      <c r="D64" s="531"/>
      <c r="E64" s="531"/>
      <c r="F64" s="532"/>
      <c r="G64" s="532"/>
    </row>
    <row r="65" spans="1:7" s="488" customFormat="1" ht="18" customHeight="1" x14ac:dyDescent="0.2">
      <c r="A65" s="493"/>
      <c r="B65" s="17"/>
      <c r="C65" s="517"/>
      <c r="D65" s="531"/>
      <c r="E65" s="531"/>
      <c r="F65" s="532"/>
      <c r="G65" s="532"/>
    </row>
    <row r="66" spans="1:7" s="488" customFormat="1" ht="18" customHeight="1" x14ac:dyDescent="0.2">
      <c r="A66" s="490" t="s">
        <v>651</v>
      </c>
      <c r="B66" s="491" t="s">
        <v>310</v>
      </c>
      <c r="C66" s="498">
        <f>C67+C68+C69+C70+C71+C72+C73+C74</f>
        <v>294255</v>
      </c>
      <c r="D66" s="534"/>
      <c r="E66" s="534"/>
      <c r="F66" s="535"/>
      <c r="G66" s="535"/>
    </row>
    <row r="67" spans="1:7" s="488" customFormat="1" ht="31.5" x14ac:dyDescent="0.2">
      <c r="A67" s="493" t="s">
        <v>652</v>
      </c>
      <c r="B67" s="17" t="s">
        <v>604</v>
      </c>
      <c r="C67" s="522">
        <v>6258</v>
      </c>
      <c r="D67" s="531"/>
      <c r="E67" s="531"/>
      <c r="F67" s="532"/>
      <c r="G67" s="532"/>
    </row>
    <row r="68" spans="1:7" s="488" customFormat="1" ht="31.5" x14ac:dyDescent="0.2">
      <c r="A68" s="493" t="s">
        <v>653</v>
      </c>
      <c r="B68" s="17" t="s">
        <v>606</v>
      </c>
      <c r="C68" s="522">
        <v>23039</v>
      </c>
      <c r="D68" s="531"/>
      <c r="E68" s="531"/>
      <c r="F68" s="532"/>
      <c r="G68" s="532"/>
    </row>
    <row r="69" spans="1:7" s="488" customFormat="1" ht="31.5" x14ac:dyDescent="0.2">
      <c r="A69" s="493" t="s">
        <v>598</v>
      </c>
      <c r="B69" s="17" t="s">
        <v>607</v>
      </c>
      <c r="C69" s="522">
        <v>53687</v>
      </c>
      <c r="D69" s="531"/>
      <c r="E69" s="531"/>
      <c r="F69" s="532"/>
      <c r="G69" s="532"/>
    </row>
    <row r="70" spans="1:7" s="488" customFormat="1" ht="31.5" x14ac:dyDescent="0.2">
      <c r="A70" s="493"/>
      <c r="B70" s="17" t="s">
        <v>608</v>
      </c>
      <c r="C70" s="522">
        <v>107318</v>
      </c>
      <c r="D70" s="531"/>
      <c r="E70" s="531"/>
      <c r="F70" s="532"/>
      <c r="G70" s="532"/>
    </row>
    <row r="71" spans="1:7" s="488" customFormat="1" x14ac:dyDescent="0.2">
      <c r="A71" s="493"/>
      <c r="B71" s="17" t="s">
        <v>609</v>
      </c>
      <c r="C71" s="522">
        <v>81778</v>
      </c>
      <c r="D71" s="531"/>
      <c r="E71" s="531"/>
      <c r="F71" s="532"/>
      <c r="G71" s="532"/>
    </row>
    <row r="72" spans="1:7" s="488" customFormat="1" ht="18" customHeight="1" x14ac:dyDescent="0.2">
      <c r="A72" s="493"/>
      <c r="B72" s="17" t="s">
        <v>610</v>
      </c>
      <c r="C72" s="522">
        <v>9244</v>
      </c>
      <c r="D72" s="531"/>
      <c r="E72" s="531"/>
      <c r="F72" s="532"/>
      <c r="G72" s="532"/>
    </row>
    <row r="73" spans="1:7" s="488" customFormat="1" ht="18" customHeight="1" x14ac:dyDescent="0.2">
      <c r="A73" s="493"/>
      <c r="B73" s="17" t="s">
        <v>611</v>
      </c>
      <c r="C73" s="522">
        <v>12812</v>
      </c>
      <c r="D73" s="531"/>
      <c r="E73" s="531"/>
      <c r="F73" s="532"/>
      <c r="G73" s="532"/>
    </row>
    <row r="74" spans="1:7" s="488" customFormat="1" ht="18" customHeight="1" x14ac:dyDescent="0.2">
      <c r="A74" s="493"/>
      <c r="B74" s="17" t="s">
        <v>612</v>
      </c>
      <c r="C74" s="522">
        <v>119</v>
      </c>
      <c r="D74" s="531"/>
      <c r="E74" s="531"/>
      <c r="F74" s="532"/>
      <c r="G74" s="532"/>
    </row>
    <row r="75" spans="1:7" s="488" customFormat="1" ht="18" customHeight="1" x14ac:dyDescent="0.2">
      <c r="A75" s="493"/>
      <c r="B75" s="17"/>
      <c r="C75" s="517"/>
      <c r="D75" s="531"/>
      <c r="E75" s="531"/>
      <c r="F75" s="532"/>
      <c r="G75" s="532"/>
    </row>
    <row r="76" spans="1:7" s="488" customFormat="1" ht="18" customHeight="1" x14ac:dyDescent="0.2">
      <c r="A76" s="490" t="s">
        <v>654</v>
      </c>
      <c r="B76" s="491" t="s">
        <v>315</v>
      </c>
      <c r="C76" s="498">
        <f>C77+C78+C79</f>
        <v>888147</v>
      </c>
      <c r="D76" s="534"/>
      <c r="E76" s="534"/>
      <c r="F76" s="535"/>
      <c r="G76" s="535"/>
    </row>
    <row r="77" spans="1:7" s="488" customFormat="1" ht="31.5" x14ac:dyDescent="0.2">
      <c r="A77" s="495" t="s">
        <v>655</v>
      </c>
      <c r="B77" s="16" t="s">
        <v>656</v>
      </c>
      <c r="C77" s="523">
        <v>864623</v>
      </c>
      <c r="D77" s="537"/>
      <c r="E77" s="537"/>
      <c r="F77" s="538"/>
      <c r="G77" s="538"/>
    </row>
    <row r="78" spans="1:7" s="488" customFormat="1" ht="33" customHeight="1" x14ac:dyDescent="0.2">
      <c r="A78" s="495"/>
      <c r="B78" s="16"/>
      <c r="C78" s="523">
        <v>23524</v>
      </c>
      <c r="D78" s="537"/>
      <c r="E78" s="537"/>
      <c r="F78" s="538"/>
      <c r="G78" s="538"/>
    </row>
    <row r="79" spans="1:7" s="488" customFormat="1" x14ac:dyDescent="0.2">
      <c r="A79" s="495"/>
      <c r="B79" s="16"/>
      <c r="C79" s="518"/>
      <c r="D79" s="537"/>
      <c r="E79" s="537"/>
      <c r="F79" s="538"/>
      <c r="G79" s="538"/>
    </row>
    <row r="80" spans="1:7" s="488" customFormat="1" ht="18" customHeight="1" x14ac:dyDescent="0.2">
      <c r="A80" s="495"/>
      <c r="B80" s="16"/>
      <c r="C80" s="518"/>
      <c r="D80" s="537"/>
      <c r="E80" s="537"/>
      <c r="F80" s="538"/>
      <c r="G80" s="538"/>
    </row>
    <row r="81" spans="1:7" s="488" customFormat="1" ht="18" customHeight="1" x14ac:dyDescent="0.2">
      <c r="A81" s="500"/>
      <c r="B81" s="307" t="s">
        <v>657</v>
      </c>
      <c r="C81" s="578"/>
      <c r="D81" s="579"/>
      <c r="E81" s="579"/>
      <c r="F81" s="501"/>
      <c r="G81" s="501"/>
    </row>
    <row r="82" spans="1:7" s="504" customFormat="1" ht="18" customHeight="1" x14ac:dyDescent="0.2">
      <c r="A82" s="502" t="s">
        <v>593</v>
      </c>
      <c r="B82" s="127" t="s">
        <v>658</v>
      </c>
      <c r="C82" s="503">
        <f>C83+C84+C85+C86+C87+C88+C89</f>
        <v>1470705.6499999997</v>
      </c>
      <c r="D82" s="503"/>
      <c r="E82" s="503"/>
      <c r="F82" s="503"/>
      <c r="G82" s="503"/>
    </row>
    <row r="83" spans="1:7" s="580" customFormat="1" ht="18" customHeight="1" x14ac:dyDescent="0.25">
      <c r="A83" s="505" t="s">
        <v>594</v>
      </c>
      <c r="B83" s="16" t="s">
        <v>659</v>
      </c>
      <c r="C83" s="545">
        <v>975386.2</v>
      </c>
      <c r="D83" s="506"/>
      <c r="E83" s="506"/>
      <c r="F83" s="506"/>
      <c r="G83" s="506" t="s">
        <v>660</v>
      </c>
    </row>
    <row r="84" spans="1:7" s="580" customFormat="1" ht="18" customHeight="1" x14ac:dyDescent="0.25">
      <c r="A84" s="505" t="s">
        <v>599</v>
      </c>
      <c r="B84" s="16" t="s">
        <v>662</v>
      </c>
      <c r="C84" s="545">
        <v>86080.93</v>
      </c>
      <c r="D84" s="506"/>
      <c r="E84" s="506"/>
      <c r="F84" s="506"/>
      <c r="G84" s="506" t="s">
        <v>697</v>
      </c>
    </row>
    <row r="85" spans="1:7" s="580" customFormat="1" ht="18" customHeight="1" x14ac:dyDescent="0.25">
      <c r="A85" s="505" t="s">
        <v>598</v>
      </c>
      <c r="B85" s="16" t="s">
        <v>659</v>
      </c>
      <c r="C85" s="545">
        <v>46860.93</v>
      </c>
      <c r="D85" s="506"/>
      <c r="E85" s="506"/>
      <c r="F85" s="506"/>
      <c r="G85" s="506" t="s">
        <v>661</v>
      </c>
    </row>
    <row r="86" spans="1:7" s="580" customFormat="1" ht="18" customHeight="1" x14ac:dyDescent="0.25">
      <c r="A86" s="505"/>
      <c r="B86" s="16" t="s">
        <v>663</v>
      </c>
      <c r="C86" s="545">
        <v>20409.71</v>
      </c>
      <c r="D86" s="506"/>
      <c r="E86" s="506"/>
      <c r="F86" s="506"/>
      <c r="G86" s="506" t="s">
        <v>664</v>
      </c>
    </row>
    <row r="87" spans="1:7" s="580" customFormat="1" ht="18" customHeight="1" x14ac:dyDescent="0.25">
      <c r="A87" s="505"/>
      <c r="B87" s="16" t="s">
        <v>754</v>
      </c>
      <c r="C87" s="545">
        <v>9450</v>
      </c>
      <c r="D87" s="506"/>
      <c r="E87" s="506"/>
      <c r="F87" s="506"/>
      <c r="G87" s="506" t="s">
        <v>755</v>
      </c>
    </row>
    <row r="88" spans="1:7" s="580" customFormat="1" ht="18" customHeight="1" x14ac:dyDescent="0.25">
      <c r="A88" s="581"/>
      <c r="B88" s="480" t="s">
        <v>756</v>
      </c>
      <c r="C88" s="582">
        <v>8214.8799999999992</v>
      </c>
      <c r="D88" s="583"/>
      <c r="E88" s="583"/>
      <c r="F88" s="583"/>
      <c r="G88" s="583" t="s">
        <v>757</v>
      </c>
    </row>
    <row r="89" spans="1:7" s="488" customFormat="1" ht="18" customHeight="1" x14ac:dyDescent="0.2">
      <c r="A89" s="505"/>
      <c r="B89" s="17" t="s">
        <v>758</v>
      </c>
      <c r="C89" s="584">
        <v>324303</v>
      </c>
      <c r="D89" s="506">
        <v>276144</v>
      </c>
      <c r="E89" s="506">
        <v>14060</v>
      </c>
      <c r="F89" s="506">
        <v>262084</v>
      </c>
      <c r="G89" s="506" t="s">
        <v>759</v>
      </c>
    </row>
    <row r="90" spans="1:7" s="488" customFormat="1" ht="18" customHeight="1" x14ac:dyDescent="0.2">
      <c r="A90" s="505"/>
      <c r="B90" s="17"/>
      <c r="C90" s="506"/>
      <c r="D90" s="506"/>
      <c r="E90" s="506"/>
      <c r="F90" s="506"/>
      <c r="G90" s="506"/>
    </row>
    <row r="91" spans="1:7" s="504" customFormat="1" ht="18" customHeight="1" x14ac:dyDescent="0.2">
      <c r="A91" s="502" t="s">
        <v>620</v>
      </c>
      <c r="B91" s="127" t="s">
        <v>665</v>
      </c>
      <c r="C91" s="503">
        <v>0</v>
      </c>
      <c r="D91" s="519"/>
      <c r="E91" s="519"/>
      <c r="F91" s="519"/>
      <c r="G91" s="519"/>
    </row>
    <row r="92" spans="1:7" s="488" customFormat="1" ht="18" customHeight="1" x14ac:dyDescent="0.2">
      <c r="A92" s="505" t="s">
        <v>621</v>
      </c>
      <c r="B92" s="17" t="s">
        <v>596</v>
      </c>
      <c r="C92" s="520"/>
      <c r="D92" s="520"/>
      <c r="E92" s="520"/>
      <c r="F92" s="520"/>
      <c r="G92" s="520"/>
    </row>
    <row r="93" spans="1:7" s="488" customFormat="1" ht="18" customHeight="1" x14ac:dyDescent="0.2">
      <c r="A93" s="505" t="s">
        <v>624</v>
      </c>
      <c r="B93" s="17" t="s">
        <v>596</v>
      </c>
      <c r="C93" s="520"/>
      <c r="D93" s="520"/>
      <c r="E93" s="520"/>
      <c r="F93" s="520"/>
      <c r="G93" s="520"/>
    </row>
    <row r="94" spans="1:7" s="488" customFormat="1" ht="18" customHeight="1" x14ac:dyDescent="0.2">
      <c r="A94" s="505" t="s">
        <v>598</v>
      </c>
      <c r="B94" s="17" t="s">
        <v>596</v>
      </c>
      <c r="C94" s="520"/>
      <c r="D94" s="520"/>
      <c r="E94" s="520"/>
      <c r="F94" s="520"/>
      <c r="G94" s="520"/>
    </row>
    <row r="95" spans="1:7" s="488" customFormat="1" ht="18" customHeight="1" x14ac:dyDescent="0.2">
      <c r="A95" s="505"/>
      <c r="B95" s="17"/>
      <c r="C95" s="520"/>
      <c r="D95" s="520"/>
      <c r="E95" s="520"/>
      <c r="F95" s="520"/>
      <c r="G95" s="520"/>
    </row>
    <row r="96" spans="1:7" s="504" customFormat="1" ht="18" customHeight="1" x14ac:dyDescent="0.2">
      <c r="A96" s="502" t="s">
        <v>666</v>
      </c>
      <c r="B96" s="127" t="s">
        <v>667</v>
      </c>
      <c r="C96" s="503">
        <f>C97+C98</f>
        <v>872</v>
      </c>
      <c r="D96" s="503"/>
      <c r="E96" s="503"/>
      <c r="F96" s="503"/>
      <c r="G96" s="503"/>
    </row>
    <row r="97" spans="1:7" s="504" customFormat="1" ht="18" customHeight="1" x14ac:dyDescent="0.2">
      <c r="A97" s="507" t="s">
        <v>668</v>
      </c>
      <c r="B97" s="17" t="s">
        <v>669</v>
      </c>
      <c r="C97" s="506">
        <v>300</v>
      </c>
      <c r="D97" s="506"/>
      <c r="E97" s="506"/>
      <c r="F97" s="506"/>
      <c r="G97" s="506" t="s">
        <v>670</v>
      </c>
    </row>
    <row r="98" spans="1:7" s="504" customFormat="1" ht="18" customHeight="1" x14ac:dyDescent="0.2">
      <c r="A98" s="507" t="s">
        <v>671</v>
      </c>
      <c r="B98" s="17" t="s">
        <v>672</v>
      </c>
      <c r="C98" s="506">
        <v>572</v>
      </c>
      <c r="D98" s="506"/>
      <c r="E98" s="506"/>
      <c r="F98" s="506"/>
      <c r="G98" s="506" t="s">
        <v>673</v>
      </c>
    </row>
    <row r="99" spans="1:7" s="504" customFormat="1" ht="18" customHeight="1" x14ac:dyDescent="0.2">
      <c r="A99" s="505" t="s">
        <v>598</v>
      </c>
      <c r="B99" s="508"/>
      <c r="C99" s="509"/>
      <c r="D99" s="509"/>
      <c r="E99" s="509"/>
      <c r="F99" s="509"/>
      <c r="G99" s="509"/>
    </row>
    <row r="100" spans="1:7" s="504" customFormat="1" ht="18" customHeight="1" x14ac:dyDescent="0.2">
      <c r="A100" s="507"/>
      <c r="B100" s="508"/>
      <c r="C100" s="546"/>
      <c r="D100" s="546"/>
      <c r="E100" s="546"/>
      <c r="F100" s="546"/>
      <c r="G100" s="546"/>
    </row>
    <row r="101" spans="1:7" s="504" customFormat="1" ht="18" customHeight="1" x14ac:dyDescent="0.2">
      <c r="A101" s="502" t="s">
        <v>674</v>
      </c>
      <c r="B101" s="127" t="s">
        <v>675</v>
      </c>
      <c r="C101" s="503">
        <f>C102+C103+C104+C105+C106+C107</f>
        <v>21122</v>
      </c>
      <c r="D101" s="503"/>
      <c r="E101" s="503"/>
      <c r="F101" s="503"/>
      <c r="G101" s="503"/>
    </row>
    <row r="102" spans="1:7" s="488" customFormat="1" ht="18" customHeight="1" x14ac:dyDescent="0.2">
      <c r="A102" s="505" t="s">
        <v>676</v>
      </c>
      <c r="B102" s="17" t="s">
        <v>677</v>
      </c>
      <c r="C102" s="506">
        <v>5293</v>
      </c>
      <c r="D102" s="506"/>
      <c r="E102" s="506"/>
      <c r="F102" s="506"/>
      <c r="G102" s="506" t="s">
        <v>678</v>
      </c>
    </row>
    <row r="103" spans="1:7" s="488" customFormat="1" ht="18" customHeight="1" x14ac:dyDescent="0.2">
      <c r="A103" s="505" t="s">
        <v>679</v>
      </c>
      <c r="B103" s="17" t="s">
        <v>680</v>
      </c>
      <c r="C103" s="506">
        <v>914</v>
      </c>
      <c r="D103" s="506"/>
      <c r="E103" s="506"/>
      <c r="F103" s="506"/>
      <c r="G103" s="506" t="s">
        <v>681</v>
      </c>
    </row>
    <row r="104" spans="1:7" s="488" customFormat="1" ht="18" customHeight="1" x14ac:dyDescent="0.2">
      <c r="A104" s="505" t="s">
        <v>704</v>
      </c>
      <c r="B104" s="17" t="s">
        <v>760</v>
      </c>
      <c r="C104" s="506">
        <v>1659</v>
      </c>
      <c r="D104" s="506"/>
      <c r="E104" s="506"/>
      <c r="F104" s="506"/>
      <c r="G104" s="506" t="s">
        <v>761</v>
      </c>
    </row>
    <row r="105" spans="1:7" s="488" customFormat="1" x14ac:dyDescent="0.2">
      <c r="A105" s="505" t="s">
        <v>705</v>
      </c>
      <c r="B105" s="17" t="s">
        <v>706</v>
      </c>
      <c r="C105" s="506">
        <v>1600</v>
      </c>
      <c r="D105" s="506"/>
      <c r="E105" s="506"/>
      <c r="F105" s="506"/>
      <c r="G105" s="506" t="s">
        <v>682</v>
      </c>
    </row>
    <row r="106" spans="1:7" s="488" customFormat="1" x14ac:dyDescent="0.2">
      <c r="A106" s="505" t="s">
        <v>707</v>
      </c>
      <c r="B106" s="17" t="s">
        <v>696</v>
      </c>
      <c r="C106" s="506">
        <v>2725</v>
      </c>
      <c r="D106" s="506"/>
      <c r="E106" s="506"/>
      <c r="F106" s="506"/>
      <c r="G106" s="506" t="s">
        <v>683</v>
      </c>
    </row>
    <row r="107" spans="1:7" s="488" customFormat="1" ht="18" customHeight="1" x14ac:dyDescent="0.2">
      <c r="A107" s="505"/>
      <c r="B107" s="17" t="s">
        <v>762</v>
      </c>
      <c r="C107" s="506">
        <v>8931</v>
      </c>
      <c r="D107" s="506"/>
      <c r="E107" s="506"/>
      <c r="F107" s="506"/>
      <c r="G107" s="506"/>
    </row>
    <row r="108" spans="1:7" s="488" customFormat="1" ht="18" customHeight="1" x14ac:dyDescent="0.2">
      <c r="A108" s="505"/>
      <c r="B108" s="17"/>
      <c r="C108" s="506"/>
      <c r="D108" s="506"/>
      <c r="E108" s="506"/>
      <c r="F108" s="506"/>
      <c r="G108" s="506"/>
    </row>
    <row r="109" spans="1:7" s="488" customFormat="1" ht="18" customHeight="1" x14ac:dyDescent="0.2">
      <c r="A109" s="505"/>
      <c r="B109" s="17"/>
      <c r="C109" s="506"/>
      <c r="D109" s="506"/>
      <c r="E109" s="506"/>
      <c r="F109" s="506"/>
      <c r="G109" s="506"/>
    </row>
    <row r="110" spans="1:7" s="488" customFormat="1" ht="18" customHeight="1" x14ac:dyDescent="0.2">
      <c r="A110" s="505"/>
      <c r="B110" s="17"/>
      <c r="C110" s="520"/>
      <c r="D110" s="520"/>
      <c r="E110" s="520"/>
      <c r="F110" s="520"/>
      <c r="G110" s="520"/>
    </row>
    <row r="111" spans="1:7" s="488" customFormat="1" ht="18" customHeight="1" x14ac:dyDescent="0.2">
      <c r="A111" s="505"/>
      <c r="B111" s="17"/>
      <c r="C111" s="520"/>
      <c r="D111" s="520"/>
      <c r="E111" s="520"/>
      <c r="F111" s="520"/>
      <c r="G111" s="520"/>
    </row>
    <row r="112" spans="1:7" s="488" customFormat="1" ht="18" customHeight="1" x14ac:dyDescent="0.2">
      <c r="A112" s="505"/>
      <c r="B112" s="17"/>
      <c r="C112" s="520"/>
      <c r="D112" s="520"/>
      <c r="E112" s="520"/>
      <c r="F112" s="520"/>
      <c r="G112" s="520"/>
    </row>
    <row r="113" spans="1:7" s="504" customFormat="1" ht="18" customHeight="1" x14ac:dyDescent="0.2">
      <c r="A113" s="502" t="s">
        <v>684</v>
      </c>
      <c r="B113" s="127" t="s">
        <v>685</v>
      </c>
      <c r="C113" s="519"/>
      <c r="D113" s="519"/>
      <c r="E113" s="519"/>
      <c r="F113" s="519"/>
      <c r="G113" s="519"/>
    </row>
    <row r="114" spans="1:7" s="488" customFormat="1" ht="18" customHeight="1" x14ac:dyDescent="0.2">
      <c r="A114" s="505" t="s">
        <v>686</v>
      </c>
      <c r="B114" s="17" t="s">
        <v>596</v>
      </c>
      <c r="C114" s="520"/>
      <c r="D114" s="520"/>
      <c r="E114" s="520"/>
      <c r="F114" s="520"/>
      <c r="G114" s="520"/>
    </row>
    <row r="115" spans="1:7" s="488" customFormat="1" ht="18" customHeight="1" x14ac:dyDescent="0.2">
      <c r="A115" s="505" t="s">
        <v>687</v>
      </c>
      <c r="B115" s="17" t="s">
        <v>596</v>
      </c>
      <c r="C115" s="520"/>
      <c r="D115" s="520"/>
      <c r="E115" s="520"/>
      <c r="F115" s="520"/>
      <c r="G115" s="520"/>
    </row>
    <row r="116" spans="1:7" s="488" customFormat="1" ht="18" customHeight="1" x14ac:dyDescent="0.2">
      <c r="A116" s="505" t="s">
        <v>598</v>
      </c>
      <c r="B116" s="17" t="s">
        <v>596</v>
      </c>
      <c r="C116" s="520"/>
      <c r="D116" s="520"/>
      <c r="E116" s="520"/>
      <c r="F116" s="520"/>
      <c r="G116" s="520"/>
    </row>
    <row r="117" spans="1:7" s="504" customFormat="1" ht="18" customHeight="1" x14ac:dyDescent="0.2">
      <c r="A117" s="502" t="s">
        <v>688</v>
      </c>
      <c r="B117" s="510" t="s">
        <v>689</v>
      </c>
      <c r="C117" s="519"/>
      <c r="D117" s="519"/>
      <c r="E117" s="519"/>
      <c r="F117" s="519"/>
      <c r="G117" s="519"/>
    </row>
    <row r="119" spans="1:7" x14ac:dyDescent="0.2">
      <c r="A119" s="31" t="s">
        <v>441</v>
      </c>
    </row>
    <row r="120" spans="1:7" ht="46.5" customHeight="1" x14ac:dyDescent="0.2">
      <c r="A120" s="653" t="s">
        <v>690</v>
      </c>
      <c r="B120" s="653"/>
      <c r="C120" s="653"/>
      <c r="D120" s="653"/>
    </row>
    <row r="121" spans="1:7" ht="73.5" customHeight="1" x14ac:dyDescent="0.2">
      <c r="A121" s="653" t="s">
        <v>691</v>
      </c>
      <c r="B121" s="653"/>
      <c r="C121" s="653"/>
      <c r="D121" s="653"/>
    </row>
  </sheetData>
  <mergeCells count="2">
    <mergeCell ref="A120:D120"/>
    <mergeCell ref="A121:D1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2</vt:i4>
      </vt:variant>
    </vt:vector>
  </HeadingPairs>
  <TitlesOfParts>
    <vt:vector size="9" baseType="lpstr">
      <vt:lpstr>Budžeta tāme</vt:lpstr>
      <vt:lpstr>PZ Aprēķins</vt:lpstr>
      <vt:lpstr>Bilance</vt:lpstr>
      <vt:lpstr>Naudas plūsma</vt:lpstr>
      <vt:lpstr>Naturālie rādītāji</vt:lpstr>
      <vt:lpstr>Ieguldījumu tāme</vt:lpstr>
      <vt:lpstr>Kreditori, Debitori</vt:lpstr>
      <vt:lpstr>'Naturālie rādītāji'!Drukas_apgabals</vt:lpstr>
      <vt:lpstr>'Naturālie rādītāji'!Drukāt_virsrakstus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2023-07-26T10:25:14Z</cp:lastPrinted>
  <dcterms:created xsi:type="dcterms:W3CDTF">2015-06-08T06:33:04Z</dcterms:created>
  <dcterms:modified xsi:type="dcterms:W3CDTF">2024-02-28T13:09:26Z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