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traumas-my.sharepoint.com/personal/dzintra_perevertailo_tos_lv/Documents/Dokumenti/P_L_A_N_O_S_A_N_A/2022/"/>
    </mc:Choice>
  </mc:AlternateContent>
  <xr:revisionPtr revIDLastSave="386" documentId="8_{9423C4E9-4AFA-4F20-8131-633B1738704C}" xr6:coauthVersionLast="47" xr6:coauthVersionMax="47" xr10:uidLastSave="{A690B78F-B143-4A83-9132-C7ED922A3CD6}"/>
  <bookViews>
    <workbookView xWindow="-120" yWindow="-120" windowWidth="29040" windowHeight="17640" activeTab="4" xr2:uid="{00000000-000D-0000-FFFF-FFFF00000000}"/>
  </bookViews>
  <sheets>
    <sheet name="Budžeta_tāme" sheetId="13" r:id="rId1"/>
    <sheet name="Naudas plūsma" sheetId="20" r:id="rId2"/>
    <sheet name="Naturālie_rādītāji" sheetId="14" r:id="rId3"/>
    <sheet name="PZ_aprēķins" sheetId="15" r:id="rId4"/>
    <sheet name="Bilance" sheetId="16" r:id="rId5"/>
    <sheet name="Ieguldījumu_tāme" sheetId="19" r:id="rId6"/>
  </sheets>
  <externalReferences>
    <externalReference r:id="rId7"/>
  </externalReferences>
  <definedNames>
    <definedName name="dff">#NAME?</definedName>
    <definedName name="_xlnm.Print_Area" localSheetId="4">Bilance!$B$1:$H$59</definedName>
    <definedName name="_xlnm.Print_Area" localSheetId="0">Budžeta_tāme!$A$1:$H$193</definedName>
    <definedName name="hh">#REF!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6" l="1"/>
  <c r="G59" i="16"/>
  <c r="E59" i="16"/>
  <c r="H58" i="16"/>
  <c r="H57" i="16" s="1"/>
  <c r="G58" i="16"/>
  <c r="D58" i="16"/>
  <c r="H48" i="16"/>
  <c r="H43" i="16" s="1"/>
  <c r="G48" i="16"/>
  <c r="F48" i="16"/>
  <c r="F43" i="16" s="1"/>
  <c r="E48" i="16"/>
  <c r="H44" i="16"/>
  <c r="G44" i="16"/>
  <c r="G43" i="16" s="1"/>
  <c r="G55" i="16" s="1"/>
  <c r="F44" i="16"/>
  <c r="E44" i="16"/>
  <c r="E43" i="16" s="1"/>
  <c r="E55" i="16" s="1"/>
  <c r="H29" i="16"/>
  <c r="G29" i="16"/>
  <c r="E29" i="16"/>
  <c r="H33" i="16"/>
  <c r="G33" i="16"/>
  <c r="F33" i="16"/>
  <c r="F29" i="16" s="1"/>
  <c r="E33" i="16"/>
  <c r="H11" i="16"/>
  <c r="G11" i="16"/>
  <c r="F11" i="16"/>
  <c r="F58" i="16" s="1"/>
  <c r="E11" i="16"/>
  <c r="E58" i="16" s="1"/>
  <c r="H18" i="16"/>
  <c r="H10" i="16" s="1"/>
  <c r="H27" i="16" s="1"/>
  <c r="G18" i="16"/>
  <c r="G10" i="16" s="1"/>
  <c r="G27" i="16" s="1"/>
  <c r="F18" i="16"/>
  <c r="F59" i="16" s="1"/>
  <c r="E18" i="16"/>
  <c r="D18" i="16"/>
  <c r="D59" i="16" s="1"/>
  <c r="D11" i="16"/>
  <c r="F3" i="16"/>
  <c r="E3" i="16"/>
  <c r="H6" i="16"/>
  <c r="H3" i="16" s="1"/>
  <c r="G6" i="16"/>
  <c r="G3" i="16" s="1"/>
  <c r="F6" i="16"/>
  <c r="E6" i="16"/>
  <c r="D6" i="16"/>
  <c r="D3" i="16" s="1"/>
  <c r="D48" i="16"/>
  <c r="D44" i="16"/>
  <c r="D33" i="16"/>
  <c r="D29" i="16" s="1"/>
  <c r="H22" i="15"/>
  <c r="H5" i="15"/>
  <c r="G22" i="15"/>
  <c r="G5" i="15"/>
  <c r="F22" i="15"/>
  <c r="F5" i="15"/>
  <c r="E22" i="15"/>
  <c r="E5" i="15"/>
  <c r="H40" i="20"/>
  <c r="H41" i="20"/>
  <c r="G40" i="20"/>
  <c r="G41" i="20"/>
  <c r="E41" i="20"/>
  <c r="F40" i="20"/>
  <c r="F41" i="20"/>
  <c r="E30" i="20"/>
  <c r="F30" i="20"/>
  <c r="E42" i="20"/>
  <c r="E40" i="20"/>
  <c r="C6" i="13"/>
  <c r="H89" i="14"/>
  <c r="G89" i="14"/>
  <c r="F89" i="14"/>
  <c r="E89" i="14"/>
  <c r="H88" i="14"/>
  <c r="G88" i="14"/>
  <c r="F88" i="14"/>
  <c r="E88" i="14"/>
  <c r="H87" i="14"/>
  <c r="G87" i="14"/>
  <c r="F87" i="14"/>
  <c r="E87" i="14"/>
  <c r="H86" i="14"/>
  <c r="G86" i="14"/>
  <c r="F86" i="14"/>
  <c r="E86" i="14"/>
  <c r="E57" i="16" l="1"/>
  <c r="E10" i="16"/>
  <c r="E27" i="16" s="1"/>
  <c r="F10" i="16"/>
  <c r="F27" i="16" s="1"/>
  <c r="F57" i="16"/>
  <c r="F55" i="16"/>
  <c r="H55" i="16"/>
  <c r="G57" i="16"/>
  <c r="D43" i="16"/>
  <c r="D10" i="16"/>
  <c r="D27" i="16" s="1"/>
  <c r="D55" i="16"/>
  <c r="D57" i="16"/>
  <c r="F42" i="20"/>
  <c r="G42" i="20"/>
  <c r="H42" i="20"/>
  <c r="G35" i="20"/>
  <c r="F35" i="20"/>
  <c r="E35" i="20"/>
  <c r="H35" i="20"/>
  <c r="C27" i="20"/>
  <c r="J80" i="14"/>
  <c r="H12" i="14"/>
  <c r="G12" i="14"/>
  <c r="C12" i="14"/>
  <c r="D12" i="14"/>
  <c r="F12" i="14"/>
  <c r="E12" i="14"/>
  <c r="E114" i="20"/>
  <c r="F114" i="20"/>
  <c r="G114" i="20"/>
  <c r="H114" i="20"/>
  <c r="F85" i="20"/>
  <c r="G85" i="20"/>
  <c r="G72" i="20" s="1"/>
  <c r="H85" i="20"/>
  <c r="E85" i="20"/>
  <c r="E72" i="20" s="1"/>
  <c r="F101" i="20"/>
  <c r="G101" i="20"/>
  <c r="H101" i="20"/>
  <c r="E101" i="20"/>
  <c r="F72" i="20"/>
  <c r="H72" i="20"/>
  <c r="E34" i="20" l="1"/>
  <c r="F27" i="20"/>
  <c r="E27" i="20"/>
  <c r="C40" i="20"/>
  <c r="D40" i="20"/>
  <c r="E47" i="20"/>
  <c r="F47" i="20"/>
  <c r="G47" i="20"/>
  <c r="H47" i="20"/>
  <c r="D47" i="20"/>
  <c r="E56" i="20"/>
  <c r="F56" i="20"/>
  <c r="G56" i="20"/>
  <c r="H56" i="20"/>
  <c r="E88" i="20"/>
  <c r="F88" i="20"/>
  <c r="F55" i="20" s="1"/>
  <c r="F53" i="20" s="1"/>
  <c r="G88" i="20"/>
  <c r="G55" i="20" s="1"/>
  <c r="G53" i="20" s="1"/>
  <c r="H88" i="20"/>
  <c r="H55" i="20" s="1"/>
  <c r="H53" i="20" s="1"/>
  <c r="E110" i="20"/>
  <c r="E107" i="20" s="1"/>
  <c r="F110" i="20"/>
  <c r="F107" i="20" s="1"/>
  <c r="G110" i="20"/>
  <c r="G107" i="20" s="1"/>
  <c r="H110" i="20"/>
  <c r="H107" i="20" s="1"/>
  <c r="E126" i="20"/>
  <c r="F126" i="20"/>
  <c r="G126" i="20"/>
  <c r="H126" i="20"/>
  <c r="D126" i="20"/>
  <c r="G27" i="20"/>
  <c r="H27" i="20"/>
  <c r="E15" i="20"/>
  <c r="F15" i="20"/>
  <c r="G15" i="20"/>
  <c r="H15" i="20"/>
  <c r="E7" i="20"/>
  <c r="F7" i="20"/>
  <c r="G7" i="20"/>
  <c r="G6" i="20" s="1"/>
  <c r="G5" i="20" s="1"/>
  <c r="H7" i="20"/>
  <c r="E6" i="20"/>
  <c r="F6" i="20"/>
  <c r="D7" i="20"/>
  <c r="I3" i="13"/>
  <c r="J3" i="13" s="1"/>
  <c r="G105" i="20" l="1"/>
  <c r="G130" i="20"/>
  <c r="E130" i="20"/>
  <c r="E55" i="20"/>
  <c r="E53" i="20" s="1"/>
  <c r="E105" i="20" s="1"/>
  <c r="H130" i="20"/>
  <c r="F130" i="20"/>
  <c r="H105" i="20"/>
  <c r="F105" i="20"/>
  <c r="F5" i="20"/>
  <c r="E5" i="20"/>
  <c r="E45" i="20" s="1"/>
  <c r="F34" i="20"/>
  <c r="G34" i="20"/>
  <c r="H34" i="20"/>
  <c r="H6" i="20"/>
  <c r="H5" i="20" s="1"/>
  <c r="H45" i="20" l="1"/>
  <c r="H133" i="20" s="1"/>
  <c r="H138" i="20" s="1"/>
  <c r="F45" i="20"/>
  <c r="F133" i="20" s="1"/>
  <c r="E133" i="20"/>
  <c r="G45" i="20"/>
  <c r="G133" i="20" s="1"/>
  <c r="G138" i="20" s="1"/>
  <c r="F138" i="20" l="1"/>
  <c r="E138" i="20"/>
  <c r="E56" i="19"/>
  <c r="H72" i="19"/>
  <c r="G72" i="19"/>
  <c r="F72" i="19"/>
  <c r="E72" i="19"/>
  <c r="D72" i="19"/>
  <c r="C72" i="19"/>
  <c r="H69" i="19"/>
  <c r="G69" i="19"/>
  <c r="F69" i="19"/>
  <c r="E69" i="19"/>
  <c r="D69" i="19"/>
  <c r="C69" i="19"/>
  <c r="H56" i="19"/>
  <c r="G56" i="19"/>
  <c r="F56" i="19"/>
  <c r="H53" i="19"/>
  <c r="G53" i="19"/>
  <c r="F53" i="19"/>
  <c r="E53" i="19"/>
  <c r="H50" i="19"/>
  <c r="G50" i="19"/>
  <c r="F50" i="19"/>
  <c r="E50" i="19"/>
  <c r="D50" i="19"/>
  <c r="C50" i="19"/>
  <c r="H47" i="19"/>
  <c r="H25" i="19" s="1"/>
  <c r="G47" i="19"/>
  <c r="G25" i="19" s="1"/>
  <c r="F47" i="19"/>
  <c r="F25" i="19" s="1"/>
  <c r="E47" i="19"/>
  <c r="H26" i="19"/>
  <c r="G26" i="19"/>
  <c r="F26" i="19"/>
  <c r="E26" i="19"/>
  <c r="H16" i="19"/>
  <c r="G16" i="19"/>
  <c r="F16" i="19"/>
  <c r="E16" i="19"/>
  <c r="D16" i="19"/>
  <c r="C16" i="19"/>
  <c r="H13" i="19"/>
  <c r="G13" i="19"/>
  <c r="F13" i="19"/>
  <c r="E13" i="19"/>
  <c r="D13" i="19"/>
  <c r="C13" i="19"/>
  <c r="H10" i="19"/>
  <c r="G10" i="19"/>
  <c r="F10" i="19"/>
  <c r="E10" i="19"/>
  <c r="C10" i="19"/>
  <c r="H7" i="19"/>
  <c r="G7" i="19"/>
  <c r="F7" i="19"/>
  <c r="E7" i="19"/>
  <c r="C7" i="19"/>
  <c r="H4" i="19"/>
  <c r="G4" i="19"/>
  <c r="F4" i="19"/>
  <c r="E4" i="19"/>
  <c r="D4" i="19"/>
  <c r="C4" i="19"/>
  <c r="D3" i="19" l="1"/>
  <c r="C3" i="19"/>
  <c r="C75" i="19" s="1"/>
  <c r="E25" i="19"/>
  <c r="E24" i="19" s="1"/>
  <c r="E3" i="19"/>
  <c r="F3" i="19"/>
  <c r="D24" i="19"/>
  <c r="G24" i="19"/>
  <c r="F24" i="19"/>
  <c r="H3" i="19"/>
  <c r="G3" i="19"/>
  <c r="H24" i="19"/>
  <c r="D30" i="20"/>
  <c r="D39" i="20"/>
  <c r="D27" i="20"/>
  <c r="D28" i="20"/>
  <c r="D42" i="20"/>
  <c r="D35" i="20"/>
  <c r="D15" i="20"/>
  <c r="D114" i="20"/>
  <c r="D85" i="20"/>
  <c r="D75" i="19" l="1"/>
  <c r="E75" i="19"/>
  <c r="G75" i="19"/>
  <c r="F75" i="19"/>
  <c r="H75" i="19"/>
  <c r="D34" i="20"/>
  <c r="C48" i="16" l="1"/>
  <c r="C44" i="16"/>
  <c r="C40" i="16"/>
  <c r="C33" i="16"/>
  <c r="C30" i="16"/>
  <c r="C18" i="16"/>
  <c r="C59" i="16" s="1"/>
  <c r="C11" i="16"/>
  <c r="C6" i="16"/>
  <c r="C3" i="16" s="1"/>
  <c r="D138" i="20"/>
  <c r="D123" i="20"/>
  <c r="D120" i="20"/>
  <c r="D117" i="20"/>
  <c r="D111" i="20"/>
  <c r="D98" i="20"/>
  <c r="D95" i="20"/>
  <c r="D92" i="20"/>
  <c r="D89" i="20"/>
  <c r="D82" i="20"/>
  <c r="D79" i="20"/>
  <c r="D76" i="20"/>
  <c r="D73" i="20"/>
  <c r="D66" i="20"/>
  <c r="D63" i="20"/>
  <c r="D60" i="20"/>
  <c r="D57" i="20"/>
  <c r="D24" i="20"/>
  <c r="D18" i="20"/>
  <c r="D12" i="20"/>
  <c r="D6" i="20" s="1"/>
  <c r="D5" i="20" s="1"/>
  <c r="D45" i="20" s="1"/>
  <c r="C47" i="20"/>
  <c r="C57" i="20"/>
  <c r="C60" i="20"/>
  <c r="C63" i="20"/>
  <c r="C66" i="20"/>
  <c r="C69" i="20"/>
  <c r="C73" i="20"/>
  <c r="C76" i="20"/>
  <c r="C79" i="20"/>
  <c r="C82" i="20"/>
  <c r="C85" i="20"/>
  <c r="C89" i="20"/>
  <c r="C92" i="20"/>
  <c r="C95" i="20"/>
  <c r="C98" i="20"/>
  <c r="C101" i="20"/>
  <c r="C126" i="20"/>
  <c r="C123" i="20"/>
  <c r="C120" i="20"/>
  <c r="C117" i="20"/>
  <c r="C114" i="20"/>
  <c r="C111" i="20"/>
  <c r="C42" i="20"/>
  <c r="C41" i="20"/>
  <c r="C35" i="20" s="1"/>
  <c r="C34" i="20" s="1"/>
  <c r="C24" i="20"/>
  <c r="C18" i="20"/>
  <c r="C15" i="20"/>
  <c r="C6" i="20" s="1"/>
  <c r="C12" i="20"/>
  <c r="C7" i="20"/>
  <c r="C5" i="20" l="1"/>
  <c r="C45" i="20" s="1"/>
  <c r="D88" i="20"/>
  <c r="D110" i="20"/>
  <c r="D107" i="20" s="1"/>
  <c r="D130" i="20" s="1"/>
  <c r="D72" i="20"/>
  <c r="C110" i="20"/>
  <c r="C43" i="16"/>
  <c r="C10" i="16"/>
  <c r="C27" i="16" s="1"/>
  <c r="C29" i="16"/>
  <c r="C58" i="16"/>
  <c r="C57" i="16" s="1"/>
  <c r="D56" i="20"/>
  <c r="C72" i="20"/>
  <c r="C88" i="20"/>
  <c r="C56" i="20"/>
  <c r="C55" i="16" l="1"/>
  <c r="D55" i="20"/>
  <c r="D53" i="20" s="1"/>
  <c r="D105" i="20" s="1"/>
  <c r="C55" i="20"/>
  <c r="C53" i="20" s="1"/>
  <c r="C107" i="20"/>
  <c r="C130" i="20" s="1"/>
  <c r="C105" i="20" l="1"/>
  <c r="D3" i="20"/>
  <c r="D133" i="20" s="1"/>
  <c r="C133" i="20" l="1"/>
  <c r="C138" i="20" s="1"/>
  <c r="I13" i="14"/>
  <c r="I9" i="14" l="1"/>
  <c r="I10" i="14"/>
  <c r="I7" i="14"/>
  <c r="I6" i="14"/>
  <c r="I193" i="13" l="1"/>
  <c r="I11" i="14"/>
  <c r="I91" i="14" l="1"/>
  <c r="J91" i="14" s="1"/>
  <c r="I89" i="14"/>
  <c r="J89" i="14" s="1"/>
  <c r="I88" i="14"/>
  <c r="J88" i="14" s="1"/>
  <c r="I87" i="14"/>
  <c r="J87" i="14" s="1"/>
  <c r="I86" i="14"/>
  <c r="J86" i="14" s="1"/>
  <c r="I85" i="14"/>
  <c r="J85" i="14" s="1"/>
  <c r="I84" i="14"/>
  <c r="J84" i="14" s="1"/>
  <c r="I82" i="14"/>
  <c r="J82" i="14" s="1"/>
  <c r="I81" i="14"/>
  <c r="J81" i="14" s="1"/>
  <c r="I80" i="14"/>
  <c r="I79" i="14"/>
  <c r="J79" i="14" s="1"/>
  <c r="I77" i="14"/>
  <c r="J77" i="14" s="1"/>
  <c r="I76" i="14"/>
  <c r="J76" i="14" s="1"/>
  <c r="I75" i="14"/>
  <c r="J75" i="14" s="1"/>
  <c r="I74" i="14"/>
  <c r="J74" i="14" s="1"/>
  <c r="I73" i="14"/>
  <c r="J73" i="14" s="1"/>
  <c r="I71" i="14"/>
  <c r="J71" i="14" s="1"/>
  <c r="I70" i="14"/>
  <c r="J70" i="14" s="1"/>
  <c r="I69" i="14"/>
  <c r="J69" i="14" s="1"/>
  <c r="I68" i="14"/>
  <c r="J68" i="14" s="1"/>
  <c r="I67" i="14"/>
  <c r="J67" i="14" s="1"/>
  <c r="I65" i="14"/>
  <c r="J65" i="14" s="1"/>
  <c r="I64" i="14"/>
  <c r="J64" i="14" s="1"/>
  <c r="I63" i="14"/>
  <c r="J63" i="14" s="1"/>
  <c r="I62" i="14"/>
  <c r="J62" i="14" s="1"/>
  <c r="I61" i="14"/>
  <c r="J61" i="14" s="1"/>
  <c r="I59" i="14"/>
  <c r="J59" i="14" s="1"/>
  <c r="I58" i="14"/>
  <c r="J58" i="14" s="1"/>
  <c r="I57" i="14"/>
  <c r="J57" i="14" s="1"/>
  <c r="I56" i="14"/>
  <c r="J56" i="14" s="1"/>
  <c r="I55" i="14"/>
  <c r="J55" i="14" s="1"/>
  <c r="I52" i="14"/>
  <c r="J52" i="14" s="1"/>
  <c r="I51" i="14"/>
  <c r="J51" i="14" s="1"/>
  <c r="I50" i="14"/>
  <c r="J50" i="14" s="1"/>
  <c r="I49" i="14"/>
  <c r="J49" i="14" s="1"/>
  <c r="I48" i="14"/>
  <c r="J48" i="14" s="1"/>
  <c r="I46" i="14"/>
  <c r="J46" i="14" s="1"/>
  <c r="I45" i="14"/>
  <c r="J45" i="14" s="1"/>
  <c r="I44" i="14"/>
  <c r="J44" i="14" s="1"/>
  <c r="I43" i="14"/>
  <c r="J43" i="14" s="1"/>
  <c r="I42" i="14"/>
  <c r="J42" i="14" s="1"/>
  <c r="I40" i="14"/>
  <c r="J40" i="14" s="1"/>
  <c r="I39" i="14"/>
  <c r="J39" i="14" s="1"/>
  <c r="I38" i="14"/>
  <c r="J38" i="14" s="1"/>
  <c r="I37" i="14"/>
  <c r="J37" i="14" s="1"/>
  <c r="I36" i="14"/>
  <c r="J36" i="14" s="1"/>
  <c r="I35" i="14"/>
  <c r="J35" i="14" s="1"/>
  <c r="I34" i="14"/>
  <c r="J34" i="14" s="1"/>
  <c r="I33" i="14"/>
  <c r="J33" i="14" s="1"/>
  <c r="I30" i="14"/>
  <c r="J30" i="14" s="1"/>
  <c r="I29" i="14"/>
  <c r="J29" i="14" s="1"/>
  <c r="I28" i="14"/>
  <c r="J28" i="14" s="1"/>
  <c r="I27" i="14"/>
  <c r="J27" i="14" s="1"/>
  <c r="I26" i="14"/>
  <c r="J26" i="14" s="1"/>
  <c r="I25" i="14"/>
  <c r="J25" i="14" s="1"/>
  <c r="I24" i="14"/>
  <c r="J24" i="14" s="1"/>
  <c r="I23" i="14"/>
  <c r="J23" i="14" s="1"/>
  <c r="I22" i="14"/>
  <c r="J22" i="14" s="1"/>
  <c r="I21" i="14"/>
  <c r="J21" i="14" s="1"/>
  <c r="I20" i="14"/>
  <c r="J20" i="14" s="1"/>
  <c r="I19" i="14"/>
  <c r="J19" i="14" s="1"/>
  <c r="I18" i="14"/>
  <c r="J18" i="14" s="1"/>
  <c r="I17" i="14"/>
  <c r="J17" i="14" s="1"/>
  <c r="I16" i="14"/>
  <c r="J16" i="14" s="1"/>
  <c r="J13" i="14"/>
  <c r="J11" i="14"/>
  <c r="J10" i="14"/>
  <c r="J9" i="14"/>
  <c r="J7" i="14"/>
  <c r="J6" i="14"/>
  <c r="I32" i="14" l="1"/>
  <c r="J32" i="14" s="1"/>
  <c r="I8" i="14"/>
  <c r="J8" i="14" s="1"/>
  <c r="I66" i="14"/>
  <c r="J66" i="14" s="1"/>
  <c r="I54" i="14"/>
  <c r="J54" i="14" s="1"/>
  <c r="I60" i="14"/>
  <c r="J60" i="14" s="1"/>
  <c r="I72" i="14"/>
  <c r="J72" i="14" s="1"/>
  <c r="I5" i="14"/>
  <c r="J5" i="14" s="1"/>
  <c r="I12" i="14" l="1"/>
  <c r="J12" i="14" s="1"/>
  <c r="I14" i="14"/>
  <c r="J14" i="14" s="1"/>
  <c r="I192" i="13" l="1"/>
  <c r="J192" i="13" s="1"/>
  <c r="I190" i="13"/>
  <c r="J190" i="13" s="1"/>
  <c r="I189" i="13"/>
  <c r="J189" i="13" s="1"/>
  <c r="I188" i="13"/>
  <c r="J188" i="13" s="1"/>
  <c r="I187" i="13"/>
  <c r="J187" i="13" s="1"/>
  <c r="I186" i="13"/>
  <c r="J186" i="13" s="1"/>
  <c r="I185" i="13"/>
  <c r="J185" i="13" s="1"/>
  <c r="I184" i="13"/>
  <c r="J184" i="13" s="1"/>
  <c r="I181" i="13"/>
  <c r="J181" i="13" s="1"/>
  <c r="I180" i="13"/>
  <c r="J180" i="13" s="1"/>
  <c r="I179" i="13"/>
  <c r="J179" i="13" s="1"/>
  <c r="I178" i="13"/>
  <c r="J178" i="13" s="1"/>
  <c r="I177" i="13"/>
  <c r="J177" i="13" s="1"/>
  <c r="I176" i="13"/>
  <c r="J176" i="13" s="1"/>
  <c r="I175" i="13"/>
  <c r="J175" i="13" s="1"/>
  <c r="I174" i="13"/>
  <c r="J174" i="13" s="1"/>
  <c r="I171" i="13"/>
  <c r="J171" i="13" s="1"/>
  <c r="I170" i="13"/>
  <c r="J170" i="13" s="1"/>
  <c r="I169" i="13"/>
  <c r="J169" i="13" s="1"/>
  <c r="I168" i="13"/>
  <c r="J168" i="13" s="1"/>
  <c r="I166" i="13"/>
  <c r="J166" i="13" s="1"/>
  <c r="I162" i="13"/>
  <c r="J162" i="13" s="1"/>
  <c r="I161" i="13"/>
  <c r="J161" i="13" s="1"/>
  <c r="I160" i="13"/>
  <c r="J160" i="13" s="1"/>
  <c r="I159" i="13"/>
  <c r="J159" i="13" s="1"/>
  <c r="I157" i="13"/>
  <c r="J157" i="13" s="1"/>
  <c r="I156" i="13"/>
  <c r="J156" i="13" s="1"/>
  <c r="I155" i="13"/>
  <c r="J155" i="13" s="1"/>
  <c r="I153" i="13"/>
  <c r="J153" i="13" s="1"/>
  <c r="I152" i="13"/>
  <c r="J152" i="13" s="1"/>
  <c r="I149" i="13"/>
  <c r="J149" i="13" s="1"/>
  <c r="I148" i="13"/>
  <c r="J148" i="13" s="1"/>
  <c r="I147" i="13"/>
  <c r="J147" i="13" s="1"/>
  <c r="I146" i="13"/>
  <c r="J146" i="13" s="1"/>
  <c r="I145" i="13"/>
  <c r="J145" i="13" s="1"/>
  <c r="I144" i="13"/>
  <c r="J144" i="13" s="1"/>
  <c r="I143" i="13"/>
  <c r="J143" i="13" s="1"/>
  <c r="I142" i="13"/>
  <c r="J142" i="13" s="1"/>
  <c r="I141" i="13"/>
  <c r="J141" i="13" s="1"/>
  <c r="I138" i="13"/>
  <c r="J138" i="13" s="1"/>
  <c r="I137" i="13"/>
  <c r="J137" i="13" s="1"/>
  <c r="I136" i="13"/>
  <c r="J136" i="13" s="1"/>
  <c r="I135" i="13"/>
  <c r="J135" i="13" s="1"/>
  <c r="I134" i="13"/>
  <c r="J134" i="13" s="1"/>
  <c r="I133" i="13"/>
  <c r="J133" i="13" s="1"/>
  <c r="I132" i="13"/>
  <c r="J132" i="13" s="1"/>
  <c r="I131" i="13"/>
  <c r="J131" i="13" s="1"/>
  <c r="I128" i="13"/>
  <c r="J128" i="13" s="1"/>
  <c r="I127" i="13"/>
  <c r="J127" i="13" s="1"/>
  <c r="I126" i="13"/>
  <c r="J126" i="13" s="1"/>
  <c r="I125" i="13"/>
  <c r="J125" i="13" s="1"/>
  <c r="I123" i="13"/>
  <c r="J123" i="13" s="1"/>
  <c r="I122" i="13"/>
  <c r="J122" i="13" s="1"/>
  <c r="I120" i="13"/>
  <c r="J120" i="13" s="1"/>
  <c r="I119" i="13"/>
  <c r="J119" i="13" s="1"/>
  <c r="I118" i="13"/>
  <c r="J118" i="13" s="1"/>
  <c r="I117" i="13"/>
  <c r="J117" i="13" s="1"/>
  <c r="I116" i="13"/>
  <c r="J116" i="13" s="1"/>
  <c r="I113" i="13"/>
  <c r="J113" i="13" s="1"/>
  <c r="I112" i="13"/>
  <c r="J112" i="13" s="1"/>
  <c r="I111" i="13"/>
  <c r="J111" i="13" s="1"/>
  <c r="I110" i="13"/>
  <c r="J110" i="13" s="1"/>
  <c r="I108" i="13"/>
  <c r="J108" i="13" s="1"/>
  <c r="I107" i="13"/>
  <c r="J107" i="13" s="1"/>
  <c r="I106" i="13"/>
  <c r="J106" i="13" s="1"/>
  <c r="I105" i="13"/>
  <c r="J105" i="13" s="1"/>
  <c r="I102" i="13"/>
  <c r="J102" i="13" s="1"/>
  <c r="I101" i="13"/>
  <c r="J101" i="13" s="1"/>
  <c r="I100" i="13"/>
  <c r="J100" i="13" s="1"/>
  <c r="I99" i="13"/>
  <c r="J99" i="13" s="1"/>
  <c r="I98" i="13"/>
  <c r="J98" i="13" s="1"/>
  <c r="I96" i="13"/>
  <c r="J96" i="13" s="1"/>
  <c r="I95" i="13"/>
  <c r="J95" i="13" s="1"/>
  <c r="I94" i="13"/>
  <c r="J94" i="13" s="1"/>
  <c r="I93" i="13"/>
  <c r="J93" i="13" s="1"/>
  <c r="I92" i="13"/>
  <c r="J92" i="13" s="1"/>
  <c r="I90" i="13"/>
  <c r="J90" i="13" s="1"/>
  <c r="I88" i="13"/>
  <c r="J88" i="13" s="1"/>
  <c r="I87" i="13"/>
  <c r="J87" i="13" s="1"/>
  <c r="I86" i="13"/>
  <c r="J86" i="13" s="1"/>
  <c r="I85" i="13"/>
  <c r="J85" i="13" s="1"/>
  <c r="I84" i="13"/>
  <c r="J84" i="13" s="1"/>
  <c r="I82" i="13"/>
  <c r="J82" i="13" s="1"/>
  <c r="I81" i="13"/>
  <c r="J81" i="13" s="1"/>
  <c r="I80" i="13"/>
  <c r="J80" i="13" s="1"/>
  <c r="I79" i="13"/>
  <c r="J79" i="13" s="1"/>
  <c r="I78" i="13"/>
  <c r="J78" i="13" s="1"/>
  <c r="I77" i="13"/>
  <c r="J77" i="13" s="1"/>
  <c r="I76" i="13"/>
  <c r="J76" i="13" s="1"/>
  <c r="I74" i="13"/>
  <c r="J74" i="13" s="1"/>
  <c r="I73" i="13"/>
  <c r="J73" i="13" s="1"/>
  <c r="I72" i="13"/>
  <c r="J72" i="13" s="1"/>
  <c r="I71" i="13"/>
  <c r="J71" i="13" s="1"/>
  <c r="I70" i="13"/>
  <c r="J70" i="13" s="1"/>
  <c r="I68" i="13"/>
  <c r="J68" i="13" s="1"/>
  <c r="I65" i="13"/>
  <c r="J65" i="13" s="1"/>
  <c r="I63" i="13"/>
  <c r="J63" i="13" s="1"/>
  <c r="I62" i="13"/>
  <c r="J62" i="13" s="1"/>
  <c r="I61" i="13"/>
  <c r="J61" i="13" s="1"/>
  <c r="I58" i="13"/>
  <c r="J58" i="13" s="1"/>
  <c r="I57" i="13"/>
  <c r="J57" i="13" s="1"/>
  <c r="I56" i="13"/>
  <c r="J56" i="13" s="1"/>
  <c r="I55" i="13"/>
  <c r="J55" i="13" s="1"/>
  <c r="I54" i="13"/>
  <c r="J54" i="13" s="1"/>
  <c r="I52" i="13"/>
  <c r="J52" i="13" s="1"/>
  <c r="I50" i="13"/>
  <c r="J50" i="13" s="1"/>
  <c r="I49" i="13"/>
  <c r="J49" i="13" s="1"/>
  <c r="I48" i="13"/>
  <c r="J48" i="13" s="1"/>
  <c r="I47" i="13"/>
  <c r="J47" i="13" s="1"/>
  <c r="I46" i="13"/>
  <c r="J46" i="13" s="1"/>
  <c r="I45" i="13"/>
  <c r="J45" i="13" s="1"/>
  <c r="I44" i="13"/>
  <c r="J44" i="13" s="1"/>
  <c r="I43" i="13"/>
  <c r="J43" i="13" s="1"/>
  <c r="I42" i="13"/>
  <c r="J42" i="13" s="1"/>
  <c r="I41" i="13"/>
  <c r="J41" i="13" s="1"/>
  <c r="I39" i="13"/>
  <c r="J39" i="13" s="1"/>
  <c r="I38" i="13"/>
  <c r="J38" i="13" s="1"/>
  <c r="I36" i="13"/>
  <c r="J36" i="13" s="1"/>
  <c r="I33" i="13"/>
  <c r="J33" i="13" s="1"/>
  <c r="I32" i="13"/>
  <c r="J32" i="13" s="1"/>
  <c r="I31" i="13"/>
  <c r="J31" i="13" s="1"/>
  <c r="I30" i="13"/>
  <c r="J30" i="13" s="1"/>
  <c r="I29" i="13"/>
  <c r="J29" i="13" s="1"/>
  <c r="I27" i="13"/>
  <c r="J27" i="13" s="1"/>
  <c r="I26" i="13"/>
  <c r="J26" i="13" s="1"/>
  <c r="I24" i="13"/>
  <c r="J24" i="13" s="1"/>
  <c r="I23" i="13"/>
  <c r="J23" i="13" s="1"/>
  <c r="I21" i="13"/>
  <c r="J21" i="13" s="1"/>
  <c r="I20" i="13"/>
  <c r="J20" i="13" s="1"/>
  <c r="I19" i="13"/>
  <c r="J19" i="13" s="1"/>
  <c r="I18" i="13"/>
  <c r="J18" i="13" s="1"/>
  <c r="I17" i="13"/>
  <c r="J17" i="13" s="1"/>
  <c r="I15" i="13"/>
  <c r="J15" i="13" s="1"/>
  <c r="I12" i="13"/>
  <c r="J12" i="13" s="1"/>
  <c r="I11" i="13"/>
  <c r="J11" i="13" s="1"/>
  <c r="I9" i="13"/>
  <c r="J9" i="13" s="1"/>
  <c r="I8" i="13"/>
  <c r="J8" i="13" s="1"/>
  <c r="I7" i="13"/>
  <c r="J7" i="13" s="1"/>
  <c r="I6" i="13"/>
  <c r="J6" i="13" s="1"/>
  <c r="I89" i="13" l="1"/>
  <c r="J89" i="13" s="1"/>
  <c r="I69" i="13"/>
  <c r="J69" i="13" s="1"/>
  <c r="I22" i="13"/>
  <c r="J22" i="13" s="1"/>
  <c r="I64" i="13"/>
  <c r="J64" i="13" s="1"/>
  <c r="I66" i="13"/>
  <c r="J66" i="13" s="1"/>
  <c r="I104" i="13"/>
  <c r="J104" i="13" s="1"/>
  <c r="I121" i="13"/>
  <c r="J121" i="13" s="1"/>
  <c r="I115" i="13"/>
  <c r="J115" i="13" s="1"/>
  <c r="I10" i="13"/>
  <c r="J10" i="13" s="1"/>
  <c r="I16" i="13"/>
  <c r="J16" i="13" s="1"/>
  <c r="I53" i="13"/>
  <c r="J53" i="13" s="1"/>
  <c r="I109" i="13"/>
  <c r="J109" i="13" s="1"/>
  <c r="I51" i="13"/>
  <c r="J51" i="13" s="1"/>
  <c r="I5" i="13"/>
  <c r="J5" i="13" s="1"/>
  <c r="I37" i="13"/>
  <c r="J37" i="13" s="1"/>
  <c r="I40" i="13"/>
  <c r="J40" i="13" s="1"/>
  <c r="I60" i="13"/>
  <c r="J60" i="13" s="1"/>
  <c r="I75" i="13"/>
  <c r="J75" i="13" s="1"/>
  <c r="I97" i="13"/>
  <c r="J97" i="13" s="1"/>
  <c r="I91" i="13"/>
  <c r="J91" i="13" s="1"/>
  <c r="I124" i="13"/>
  <c r="J124" i="13" s="1"/>
  <c r="I25" i="13"/>
  <c r="J25" i="13" s="1"/>
  <c r="I13" i="13"/>
  <c r="J13" i="13" s="1"/>
  <c r="I14" i="13"/>
  <c r="J14" i="13" s="1"/>
  <c r="I28" i="13"/>
  <c r="J28" i="13" s="1"/>
  <c r="I140" i="13"/>
  <c r="J140" i="13" s="1"/>
  <c r="I151" i="13"/>
  <c r="J151" i="13" s="1"/>
  <c r="I158" i="13"/>
  <c r="J158" i="13" s="1"/>
  <c r="I173" i="13"/>
  <c r="J173" i="13" s="1"/>
  <c r="I139" i="13"/>
  <c r="J139" i="13" s="1"/>
  <c r="I183" i="13"/>
  <c r="J183" i="13" s="1"/>
  <c r="I130" i="13"/>
  <c r="J130" i="13" s="1"/>
  <c r="I165" i="13"/>
  <c r="J165" i="13" s="1"/>
  <c r="I167" i="13"/>
  <c r="J167" i="13" s="1"/>
  <c r="I154" i="13"/>
  <c r="J154" i="13" s="1"/>
  <c r="I83" i="13" l="1"/>
  <c r="J83" i="13" s="1"/>
  <c r="I35" i="13"/>
  <c r="J35" i="13" s="1"/>
  <c r="I114" i="13"/>
  <c r="J114" i="13" s="1"/>
  <c r="I150" i="13"/>
  <c r="J150" i="13" s="1"/>
  <c r="I67" i="13"/>
  <c r="J67" i="13" s="1"/>
  <c r="I4" i="13"/>
  <c r="J4" i="13" s="1"/>
  <c r="I129" i="13"/>
  <c r="J129" i="13" s="1"/>
  <c r="I103" i="13" l="1"/>
  <c r="J103" i="13" s="1"/>
  <c r="I182" i="13"/>
  <c r="J182" i="13" s="1"/>
  <c r="I59" i="13" l="1"/>
  <c r="J59" i="13" s="1"/>
  <c r="I34" i="13" l="1"/>
  <c r="J34" i="13" s="1"/>
  <c r="I191" i="13" l="1"/>
  <c r="J191" i="13" s="1"/>
  <c r="I163" i="13"/>
  <c r="J163" i="13" s="1"/>
  <c r="I164" i="13" l="1"/>
  <c r="J164" i="13" s="1"/>
  <c r="I172" i="13" l="1"/>
  <c r="J172" i="13" s="1"/>
  <c r="J193" i="13"/>
</calcChain>
</file>

<file path=xl/sharedStrings.xml><?xml version="1.0" encoding="utf-8"?>
<sst xmlns="http://schemas.openxmlformats.org/spreadsheetml/2006/main" count="858" uniqueCount="680">
  <si>
    <t>Kods</t>
  </si>
  <si>
    <t>Budžeta pozīcijas</t>
  </si>
  <si>
    <t>A</t>
  </si>
  <si>
    <t>I   IEŅĒMUMI NO SAIMNIECISKĀS DARBĪBAS KOPĀ</t>
  </si>
  <si>
    <t>Valsts budžeta līdzekļi</t>
  </si>
  <si>
    <t xml:space="preserve">stacionārai palīdzībai </t>
  </si>
  <si>
    <t>pacientu iemaksas par atbrīvotajām kategorijām (stacionāram)</t>
  </si>
  <si>
    <t>ambulatorai palīdzībai</t>
  </si>
  <si>
    <t>pacientu iemaksas par atbrīvotajām kategorijām (ambulatorai p.)</t>
  </si>
  <si>
    <t>asins sagatavošanas nodaļas pakalpojumiem</t>
  </si>
  <si>
    <t>citi ieņēmumi (piem.reģistru uztur., retajiem medikam. utt.)</t>
  </si>
  <si>
    <t>Ieņēmumi par valsts finansēto zinātnisko darbību (TOP;GRANTI)</t>
  </si>
  <si>
    <t>Valsts pārvaldes deleģēto uzdevumu veikšana (Černobiļas apliecības izsniegšana)</t>
  </si>
  <si>
    <t>Pakalpojumi no maznodrošinātajiem</t>
  </si>
  <si>
    <t>Dotācija no pašvaldības budžeta</t>
  </si>
  <si>
    <t>Uzņēmuma  nopelnītie līdzekļi</t>
  </si>
  <si>
    <t>pārējie saimnieciskās darbības ieņēmumi</t>
  </si>
  <si>
    <t>Saņemtās pacientu iemaksas (stacionāram)</t>
  </si>
  <si>
    <t>Saņemtās pacientu iemaksas (ambulatorai p.)</t>
  </si>
  <si>
    <t>Ziedojumi</t>
  </si>
  <si>
    <t>Pacienta līdzmaksājums par operāciju</t>
  </si>
  <si>
    <t>B</t>
  </si>
  <si>
    <t>1000</t>
  </si>
  <si>
    <t>ATLĪDZĪBA</t>
  </si>
  <si>
    <t>Atalgojums - kopā</t>
  </si>
  <si>
    <t>Mēneša amatalga</t>
  </si>
  <si>
    <t>Samaksa par darbu svētku dienās un virsstundu darbu</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</si>
  <si>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</si>
  <si>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</si>
  <si>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</si>
  <si>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</si>
  <si>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</si>
  <si>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</si>
  <si>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</si>
  <si>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Valsts sociālās apdrošināšanas  obligātās iemaksas</t>
  </si>
  <si>
    <t>Darba devēja sociāla rakstura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</si>
  <si>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</si>
  <si>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</si>
  <si>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</si>
  <si>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</si>
  <si>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</si>
  <si>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</si>
  <si>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Dienas nauda</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</si>
  <si>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</si>
  <si>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</si>
  <si>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</si>
  <si>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</si>
  <si>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</si>
  <si>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</si>
  <si>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Normatīvajos aktos noteiktie darba devēja veselības izdevumi darba ņēmējiem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</si>
  <si>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</si>
  <si>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</si>
  <si>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</si>
  <si>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</si>
  <si>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</si>
  <si>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</si>
  <si>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</si>
  <si>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</si>
  <si>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</si>
  <si>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</si>
  <si>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</si>
  <si>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</si>
  <si>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Maksājumi par saņemtajiem finanšu pakalpojumiem</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</si>
  <si>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</si>
  <si>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</si>
  <si>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</si>
  <si>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</si>
  <si>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</si>
  <si>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</si>
  <si>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</si>
  <si>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</si>
  <si>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</si>
  <si>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</si>
  <si>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</si>
  <si>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</si>
  <si>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</si>
  <si>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</si>
  <si>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</si>
  <si>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</si>
  <si>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</si>
  <si>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</si>
  <si>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</si>
  <si>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</si>
  <si>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</si>
  <si>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</si>
  <si>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Pakalpojumi, kurus budžeta iestādes apmaksā noteikto funkciju ietvaros, kas nav iestādes administratīvie izdevumi</t>
  </si>
  <si>
    <t>PROCENTU IZDEVUMI</t>
  </si>
  <si>
    <t>Procentu maksājumi ārvalstu un starptautiskajām finanšu institūcijām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</si>
  <si>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</si>
  <si>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</si>
  <si>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</si>
  <si>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Pārējie procentu maksājumi</t>
  </si>
  <si>
    <t>Procentu maksājumi Valsts kasei</t>
  </si>
  <si>
    <t>C</t>
  </si>
  <si>
    <t>KOPĀ IZDEVUMI</t>
  </si>
  <si>
    <t>D</t>
  </si>
  <si>
    <t>N O L I E T O J U M S</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</si>
  <si>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</si>
  <si>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</si>
  <si>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</si>
  <si>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</si>
  <si>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</si>
  <si>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</si>
  <si>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</si>
  <si>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</si>
  <si>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</si>
  <si>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</si>
  <si>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</si>
  <si>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</si>
  <si>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</si>
  <si>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</si>
  <si>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</si>
  <si>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</si>
  <si>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</si>
  <si>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</si>
  <si>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</si>
  <si>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</si>
  <si>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Atliktā UIN saistības</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</si>
  <si>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</si>
  <si>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</si>
  <si>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</si>
  <si>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</si>
  <si>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</si>
  <si>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</si>
  <si>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</si>
  <si>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</si>
  <si>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</si>
  <si>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</si>
  <si>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</si>
  <si>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</si>
  <si>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</si>
  <si>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</si>
  <si>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</si>
  <si>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</si>
  <si>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</si>
  <si>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</si>
  <si>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</si>
  <si>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</si>
  <si>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</si>
  <si>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</si>
  <si>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00143</t>
  </si>
  <si>
    <t>00144</t>
  </si>
  <si>
    <t>0020</t>
  </si>
  <si>
    <t>00211</t>
  </si>
  <si>
    <t>0030</t>
  </si>
  <si>
    <t>maksas veselības aprūpes pakalpojumi</t>
  </si>
  <si>
    <t>maksas sociālie pakalpojumi</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</si>
  <si>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</si>
  <si>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</si>
  <si>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</si>
  <si>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</si>
  <si>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</si>
  <si>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</si>
  <si>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</si>
  <si>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</si>
  <si>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</si>
  <si>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</si>
  <si>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</si>
  <si>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</si>
  <si>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</si>
  <si>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</si>
  <si>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</si>
  <si>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</si>
  <si>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</si>
  <si>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</si>
  <si>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</si>
  <si>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Procentu maksājumi iekšzemes finanšu institūcijām par aizņēmumiem un vērtspapīriem</t>
  </si>
  <si>
    <t>Līzinga procentu maksājumi</t>
  </si>
  <si>
    <t>Procentu maksājumi par aizņēmumiem no pašvaldību budžeta</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</si>
  <si>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</si>
  <si>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</si>
  <si>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</si>
  <si>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</si>
  <si>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</si>
  <si>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</si>
  <si>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</si>
  <si>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</si>
  <si>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</si>
  <si>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</si>
  <si>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</si>
  <si>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</si>
  <si>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H</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</si>
  <si>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</si>
  <si>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</si>
  <si>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</si>
  <si>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</si>
  <si>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</si>
  <si>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</si>
  <si>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</si>
  <si>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</si>
  <si>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</si>
  <si>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</si>
  <si>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</si>
  <si>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</si>
  <si>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</si>
  <si>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</si>
  <si>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</si>
  <si>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</si>
  <si>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</si>
  <si>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</si>
  <si>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</si>
  <si>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</si>
  <si>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</si>
  <si>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</si>
  <si>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</si>
  <si>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</si>
  <si>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</si>
  <si>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</si>
  <si>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</si>
  <si>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</si>
  <si>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</si>
  <si>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</si>
  <si>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</si>
  <si>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</si>
  <si>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</si>
  <si>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</si>
  <si>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</si>
  <si>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</si>
  <si>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</si>
  <si>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</si>
  <si>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</si>
  <si>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</si>
  <si>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</si>
  <si>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</si>
  <si>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</si>
  <si>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</si>
  <si>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</si>
  <si>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</si>
  <si>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</si>
  <si>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</si>
  <si>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</si>
  <si>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</si>
  <si>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</si>
  <si>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</si>
  <si>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</si>
  <si>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</si>
  <si>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</si>
  <si>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</si>
  <si>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</si>
  <si>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</si>
  <si>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</si>
  <si>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</si>
  <si>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</si>
  <si>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</si>
  <si>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</si>
  <si>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</si>
  <si>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</si>
  <si>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</si>
  <si>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</si>
  <si>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</si>
  <si>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</si>
  <si>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</si>
  <si>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</si>
  <si>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</si>
  <si>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</si>
  <si>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</si>
  <si>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</si>
  <si>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</si>
  <si>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</si>
  <si>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</si>
  <si>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</si>
  <si>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</si>
  <si>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</si>
  <si>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</si>
  <si>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</si>
  <si>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</si>
  <si>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</si>
  <si>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</si>
  <si>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</si>
  <si>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</si>
  <si>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</si>
  <si>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</si>
  <si>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</si>
  <si>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</si>
  <si>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</si>
  <si>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</si>
  <si>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</si>
  <si>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</si>
  <si>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</si>
  <si>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</si>
  <si>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</si>
  <si>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</si>
  <si>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</si>
  <si>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Naturālie rādītāji</t>
  </si>
  <si>
    <t>23231</t>
  </si>
  <si>
    <t>23232</t>
  </si>
  <si>
    <t>VADC asins komponenti</t>
  </si>
  <si>
    <t>Medicīnas preces</t>
  </si>
  <si>
    <t>Implanti</t>
  </si>
  <si>
    <t>Medicīnas instrumenti</t>
  </si>
  <si>
    <t>Asins iegāde (izdevumi atlīdzībai donoriem)</t>
  </si>
  <si>
    <t>00311</t>
  </si>
  <si>
    <t>00312</t>
  </si>
  <si>
    <t>Kapitālais remonts un rekonstrukcija</t>
  </si>
  <si>
    <t>Metodiskie norādījumi veidlapas aizpildīšanai:</t>
  </si>
  <si>
    <t>Kopā intelektuālie īpašumi</t>
  </si>
  <si>
    <t>Kopā nekustamie īpašumi</t>
  </si>
  <si>
    <t>Kopā kustamie īpašumi</t>
  </si>
  <si>
    <t>Kopā ieguldījumi</t>
  </si>
  <si>
    <t>Medicīnas un laboratoijas iekārtas t.sk.:</t>
  </si>
  <si>
    <t>Pārējās tehnoloģiskās iekārtas un mašīnas t.sk.:</t>
  </si>
  <si>
    <t>Pārējās licences, koncesijas un patenti, preču zīmes un tamlīdzīgas tiesības t.sk.:</t>
  </si>
  <si>
    <t>Saņemtās pacientu iemaksas (ambulatorai palīdzībai)</t>
  </si>
  <si>
    <t>pacientu iemaksas par atbrīvotajām kategorijām (ambulatorai palīdzībai)</t>
  </si>
  <si>
    <t>Atalgojums (1100)</t>
  </si>
  <si>
    <t>Darba devēja valsts sociālās apdrošināšanas obligātās iemaksas, sociāla rakstura pabalsti un kompensācijas (1200)</t>
  </si>
  <si>
    <t>Mācību, darba un dienesta komandējumi, darba braucieni (2100)</t>
  </si>
  <si>
    <t>Pakalpojumi (2200)</t>
  </si>
  <si>
    <t>Krājumi, materiāli, energoresursi, preces, biroja preces un inventārs, kurus neuzskaita kodā 5000 (2300; bez 2340)</t>
  </si>
  <si>
    <t>Zāles, ķimikālijas, laboratorijas preces, medicīniskās ierīces, medicīniskie instrumenti, laboratorijas dzīvnieki un to uzturēšana (2340)</t>
  </si>
  <si>
    <t>Procentu izdevumi (4000)</t>
  </si>
  <si>
    <t>Pārējie izdevumi (2400;2500; 2800)</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</si>
  <si>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</si>
  <si>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</si>
  <si>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</si>
  <si>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</si>
  <si>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</si>
  <si>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</si>
  <si>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</si>
  <si>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</si>
  <si>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</si>
  <si>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</si>
  <si>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</si>
  <si>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</si>
  <si>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</si>
  <si>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</si>
  <si>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</si>
  <si>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</si>
  <si>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</si>
  <si>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</si>
  <si>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Zāles (medikamenti)</t>
  </si>
  <si>
    <t>Medikamenti noteikto funkciju nodrošināšanai</t>
  </si>
  <si>
    <t>Bezmaksas saņemto medikamentu un medicīnas preču, kas novērtētas naudas izteiksmē izlietojums</t>
  </si>
  <si>
    <t>Darba devēja pabalsti un kompensācijas, no kā neaprēķina iedzīvotāju ienākuma nodokli un valsts sociālās apdrošināšanas obligātās iemaksas</t>
  </si>
  <si>
    <t>Citi ieņēmumi (Ieņēmumi no bez atlīdzības saņemtajām precēm, investīcijām u.tml.)</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</si>
  <si>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</si>
  <si>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</si>
  <si>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</si>
  <si>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</si>
  <si>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</si>
  <si>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</si>
  <si>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</si>
  <si>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</si>
  <si>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</si>
  <si>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</si>
  <si>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Sterilizācijas un dezinfekcijas līdzekļi</t>
  </si>
  <si>
    <t>Laboratorijas preces</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</si>
  <si>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</si>
  <si>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</si>
  <si>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</si>
  <si>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</si>
  <si>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</si>
  <si>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</si>
  <si>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</si>
  <si>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Procentu maksājumi ārvalstu un starptautiskajām finanšu institūcijām par aizņēmumiem un vērtspapīriem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</si>
  <si>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</si>
  <si>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</si>
  <si>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</si>
  <si>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</si>
  <si>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</si>
  <si>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</si>
  <si>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</si>
  <si>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Bilances posteņi</t>
  </si>
  <si>
    <t>Pašu kapitāls</t>
  </si>
  <si>
    <t>Pamatkapitāls</t>
  </si>
  <si>
    <t>Pārējās rezerves</t>
  </si>
  <si>
    <t>Nesadalītā peļņa:</t>
  </si>
  <si>
    <t>Iepriekšējo gadu nesadalītā peļņa</t>
  </si>
  <si>
    <t>Pārskata gada nesadalītā peļņa</t>
  </si>
  <si>
    <t>Uzkrājumi</t>
  </si>
  <si>
    <t>Kreditori</t>
  </si>
  <si>
    <t>Ilgtermiņa kreditori</t>
  </si>
  <si>
    <t>Aizņēmumi no kredītiestādēm</t>
  </si>
  <si>
    <t>Atliktā uzņēmuma ienākuma nodokļa saistības</t>
  </si>
  <si>
    <t>Citi aizņēmumi</t>
  </si>
  <si>
    <t>Nākamo periodu ieņēmumi</t>
  </si>
  <si>
    <t>Citi kreditori</t>
  </si>
  <si>
    <t>Īstermiņa kreditori</t>
  </si>
  <si>
    <t>No pircējiem saņemtie avansi</t>
  </si>
  <si>
    <t>Parādi piegādātājiem un darbuzņēmējiem</t>
  </si>
  <si>
    <t>Nodokļi un sociālās nodroš.maksājumi</t>
  </si>
  <si>
    <t>Pārējie kreditori</t>
  </si>
  <si>
    <t>Uzkrātās saistības</t>
  </si>
  <si>
    <t>PASĪVU KOPSUMMA (45 000+46 000+47 000+48 000)</t>
  </si>
  <si>
    <t>Ilgtermiņa ieguldījumi</t>
  </si>
  <si>
    <t>Nemateriālie ieguldījumi</t>
  </si>
  <si>
    <t>Koncesijas,patenti,licences</t>
  </si>
  <si>
    <t>Avansa maksājumi par nemater.ieguldījumiem</t>
  </si>
  <si>
    <t>Pamatlīdzekļi</t>
  </si>
  <si>
    <t>Zemes gabali,ēkas un būves un ilggadīgie stādījumi</t>
  </si>
  <si>
    <t>Iekārtas un mašīnas</t>
  </si>
  <si>
    <t>Pārējie pamatlīdzekļi un inventārs</t>
  </si>
  <si>
    <t>Pamatl.izveidošana un nepab.celtniecība</t>
  </si>
  <si>
    <t>Avansa maksājumi par pamatlīdzekļiem</t>
  </si>
  <si>
    <t>Ieguldījumi nomātos pamatlīdzekļos</t>
  </si>
  <si>
    <t>Ilgtermiņa finanšu ieguldījumi</t>
  </si>
  <si>
    <t>Līdzdalība radniecīgo uzņēmumu kapitālā</t>
  </si>
  <si>
    <t>Pārējie vērtspapīri un ieguldījumi fondos</t>
  </si>
  <si>
    <t>Apgrozāmie līdzekļi</t>
  </si>
  <si>
    <t>Krājumi</t>
  </si>
  <si>
    <t>Izejvielas, pamatmateriāli un palīgmateriāli</t>
  </si>
  <si>
    <t>Gatavie ražojumi un preces pārdošanai</t>
  </si>
  <si>
    <t>Avansa maksājumi par precēm</t>
  </si>
  <si>
    <t>Debitori</t>
  </si>
  <si>
    <t>Pircēju,pasūtītāju parādi</t>
  </si>
  <si>
    <t>Radniecīgo uzņēmumu parādi</t>
  </si>
  <si>
    <t>Citi debitori</t>
  </si>
  <si>
    <t>Nākamo periodu izmaksas</t>
  </si>
  <si>
    <t>Uzkrātie ieņēmumi</t>
  </si>
  <si>
    <t>Nauda</t>
  </si>
  <si>
    <t>AKTĪVU KOPSUMMA (50 000+51 000)</t>
  </si>
  <si>
    <t>Kredītsaistības  (21 000+22 000)</t>
  </si>
  <si>
    <t xml:space="preserve">Ilgtermiņa kredītsaistības kopā </t>
  </si>
  <si>
    <t xml:space="preserve">Īstermiņa kredītsaistības kopā </t>
  </si>
  <si>
    <t>00150</t>
  </si>
  <si>
    <t>Finansējums Tehnisko palīglīdzekļu centra funkciju nodrošināšanai</t>
  </si>
  <si>
    <t>00212</t>
  </si>
  <si>
    <t>Veselības aprūpes pakalpojumiem</t>
  </si>
  <si>
    <t>Sociāliem pakalpojumiem</t>
  </si>
  <si>
    <t>Skaidrojumi</t>
  </si>
  <si>
    <t>Ieņēmumi par valsts finansēto zinātnisko darbību (TOP; GRANTI)</t>
  </si>
  <si>
    <t>Pārējie komandējumu un darba braucienu izdevumi</t>
  </si>
  <si>
    <t>Izdevumi par sakaru pakalpojumiem</t>
  </si>
  <si>
    <t>Izdevumi par siltumenerģiju</t>
  </si>
  <si>
    <t>Izdevumi par ūdensapgādi un kanalizāciju</t>
  </si>
  <si>
    <t>Dažādi pakalpojumi</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</si>
  <si>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</si>
  <si>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</si>
  <si>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</si>
  <si>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</si>
  <si>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</si>
  <si>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</si>
  <si>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</si>
  <si>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</si>
  <si>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</si>
  <si>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</si>
  <si>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</si>
  <si>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</si>
  <si>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</si>
  <si>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</si>
  <si>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</si>
  <si>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</si>
  <si>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</si>
  <si>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</si>
  <si>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Valsts budžeta (Valsts kases) procentu maksājumi</t>
  </si>
  <si>
    <t>Pārējie iepriekš neklasificētie procentu maksājumi</t>
  </si>
  <si>
    <t>Nemateriālo ieguldījumu nolietojums</t>
  </si>
  <si>
    <t>Rādītāja nosaukums</t>
  </si>
  <si>
    <t>Neto apgrozījums</t>
  </si>
  <si>
    <t>Pārdotās produkcijas ražošanas izmaksas</t>
  </si>
  <si>
    <t>Bruto peļņa vai zaudējumi (no apgrozījuma)</t>
  </si>
  <si>
    <t>Pārdošanas izmaksas</t>
  </si>
  <si>
    <t>Administrācijas izmaksas</t>
  </si>
  <si>
    <t xml:space="preserve">Pārējie saimnieciskās darbības ieņēmumi </t>
  </si>
  <si>
    <t>Pārējie saimnieciskās darbības izmaksas</t>
  </si>
  <si>
    <t>Ieņēmumi no līdzdalības meitas un asociēto sabiedrību kapitālos</t>
  </si>
  <si>
    <t>Ieņēmumi no vērtspapīriem un aizdevumiem, kas veidojuši ilgtermiņa aizdevumus</t>
  </si>
  <si>
    <t>Pārējie procentu ieņēmumi un tamlīdzīgi ieņēmumi</t>
  </si>
  <si>
    <t>Ilgtermiņa finanšu ieguldījumi un īstermiņa vērtspapīru vērtības norakstīšana</t>
  </si>
  <si>
    <t>Procentu maksājumi un tamlīdzīgas izmaksas</t>
  </si>
  <si>
    <t>Peļņa vai zaudējumi pirms ārkārtas posteņiem un nodokļiem</t>
  </si>
  <si>
    <t>Ārkārtas ieņēmumi</t>
  </si>
  <si>
    <t>Ārkārtas izmaksas</t>
  </si>
  <si>
    <t>Ārkārtas peļņa vai zaudējumi pirms nodokļiem</t>
  </si>
  <si>
    <t>Uzņēmuma ienākuma nodoklis par pārskata periodu</t>
  </si>
  <si>
    <t>Atliktā nodokļa ieņēmumi vai izmaksas</t>
  </si>
  <si>
    <t>Pārējie nodokļi</t>
  </si>
  <si>
    <t>Pārskata perioda peļņa vai zaudējumi pēc nodokļiem</t>
  </si>
  <si>
    <t>Nr.p.k.</t>
  </si>
  <si>
    <t>Naudas plūsmas pozīcijas</t>
  </si>
  <si>
    <t>Citi ieņēmumi (piem.reģistru uztur., retajiem medikam. utt.)</t>
  </si>
  <si>
    <r>
      <t xml:space="preserve">Eiropas Struktūrfondi investīcijām kopā </t>
    </r>
    <r>
      <rPr>
        <i/>
        <sz val="14"/>
        <rFont val="Times New Roman"/>
        <family val="1"/>
      </rPr>
      <t>(sadalījumā pa projektiem un/vai finansējuma mērķiem)</t>
    </r>
  </si>
  <si>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</si>
  <si>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</si>
  <si>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</si>
  <si>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</si>
  <si>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</si>
  <si>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</si>
  <si>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</si>
  <si>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</si>
  <si>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</si>
  <si>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</si>
  <si>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</si>
  <si>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</si>
  <si>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</si>
  <si>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</si>
  <si>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</si>
  <si>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</si>
  <si>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</si>
  <si>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</si>
  <si>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</si>
  <si>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</si>
  <si>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</si>
  <si>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</si>
  <si>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</si>
  <si>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</si>
  <si>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</si>
  <si>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</si>
  <si>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</si>
  <si>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</si>
  <si>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</si>
  <si>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</si>
  <si>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</si>
  <si>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</si>
  <si>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</si>
  <si>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</si>
  <si>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</si>
  <si>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</si>
  <si>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</si>
  <si>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 xml:space="preserve">projektu vadītājiem, departamentu direktoriem un to vietniekiem, tehniskajam direktoram, kā arī sekojošām struktūrvienībām: komunikācijas, personāla vadības, finanšu, </t>
  </si>
  <si>
    <r>
      <t xml:space="preserve">Pacientu skaits periodā, kuriem sniegta neatliekamā medicīniskā palīdzība un </t>
    </r>
    <r>
      <rPr>
        <i/>
        <sz val="14"/>
        <rFont val="Times New Roman"/>
        <family val="1"/>
      </rPr>
      <t>tie novirzīti turpmākai ambulatorai ārstēšanai</t>
    </r>
  </si>
  <si>
    <r>
      <t>Pacientu skaits periodā,</t>
    </r>
    <r>
      <rPr>
        <i/>
        <sz val="14"/>
        <rFont val="Times New Roman"/>
        <family val="1"/>
      </rPr>
      <t xml:space="preserve"> kuri stacionēti (bez observācijas)</t>
    </r>
  </si>
  <si>
    <r>
      <t xml:space="preserve">Pacientu skaits periodā, </t>
    </r>
    <r>
      <rPr>
        <i/>
        <sz val="14"/>
        <rFont val="Times New Roman"/>
        <family val="1"/>
      </rPr>
      <t>kuriem nodrošināts observācijas pakalpojums, t.sk.</t>
    </r>
  </si>
  <si>
    <r>
      <t>Vidējais</t>
    </r>
    <r>
      <rPr>
        <vertAlign val="superscript"/>
        <sz val="14"/>
        <rFont val="Times New Roman"/>
        <family val="1"/>
      </rPr>
      <t>1</t>
    </r>
    <r>
      <rPr>
        <sz val="14"/>
        <rFont val="Times New Roman"/>
        <family val="1"/>
      </rPr>
      <t xml:space="preserve"> observācijas gultu skaits</t>
    </r>
  </si>
  <si>
    <r>
      <t>Kopējais hospitalizācijas</t>
    </r>
    <r>
      <rPr>
        <vertAlign val="superscript"/>
        <sz val="14"/>
        <rFont val="Times New Roman"/>
        <family val="1"/>
      </rPr>
      <t>2</t>
    </r>
    <r>
      <rPr>
        <sz val="14"/>
        <rFont val="Times New Roman"/>
        <family val="1"/>
      </rPr>
      <t xml:space="preserve"> gadījumu skaits, t.sk.</t>
    </r>
  </si>
  <si>
    <r>
      <t>Plānveida hospitalizācijas</t>
    </r>
    <r>
      <rPr>
        <vertAlign val="superscript"/>
        <sz val="14"/>
        <rFont val="Times New Roman"/>
        <family val="1"/>
      </rPr>
      <t>2</t>
    </r>
    <r>
      <rPr>
        <sz val="14"/>
        <rFont val="Times New Roman"/>
        <family val="1"/>
      </rPr>
      <t xml:space="preserve"> gadījumu skaits, t.sk.:</t>
    </r>
  </si>
  <si>
    <r>
      <t>Neatliekamo hospitalizāciju</t>
    </r>
    <r>
      <rPr>
        <vertAlign val="superscript"/>
        <sz val="14"/>
        <rFont val="Times New Roman"/>
        <family val="1"/>
      </rPr>
      <t>2</t>
    </r>
    <r>
      <rPr>
        <sz val="14"/>
        <rFont val="Times New Roman"/>
        <family val="1"/>
      </rPr>
      <t xml:space="preserve"> gadījumu skaits, t.sk.:</t>
    </r>
  </si>
  <si>
    <r>
      <t xml:space="preserve">Klienta dienas vidējā realizācijas maksa, </t>
    </r>
    <r>
      <rPr>
        <i/>
        <sz val="14"/>
        <rFont val="Times New Roman"/>
        <family val="1"/>
      </rPr>
      <t>euro</t>
    </r>
  </si>
  <si>
    <r>
      <t xml:space="preserve">Klienta dienas vidējā pašizmaksa, </t>
    </r>
    <r>
      <rPr>
        <i/>
        <sz val="14"/>
        <rFont val="Times New Roman"/>
        <family val="1"/>
      </rPr>
      <t>euro</t>
    </r>
  </si>
  <si>
    <r>
      <t xml:space="preserve">Vidējais sociālās aprūpes ilgums, </t>
    </r>
    <r>
      <rPr>
        <i/>
        <sz val="14"/>
        <rFont val="Times New Roman"/>
        <family val="1"/>
      </rPr>
      <t xml:space="preserve">dienas </t>
    </r>
  </si>
  <si>
    <r>
      <t>Ārsti</t>
    </r>
    <r>
      <rPr>
        <vertAlign val="superscript"/>
        <sz val="14"/>
        <rFont val="Times New Roman"/>
        <family val="1"/>
      </rPr>
      <t>3</t>
    </r>
  </si>
  <si>
    <r>
      <t>Ārstniecības un pacientu aprūpes personāls</t>
    </r>
    <r>
      <rPr>
        <vertAlign val="superscript"/>
        <sz val="14"/>
        <rFont val="Times New Roman"/>
        <family val="1"/>
      </rPr>
      <t>4</t>
    </r>
  </si>
  <si>
    <r>
      <t>Ārstniecības un pacientu aprūpes atbalsta personāls</t>
    </r>
    <r>
      <rPr>
        <vertAlign val="superscript"/>
        <sz val="14"/>
        <rFont val="Times New Roman"/>
        <family val="1"/>
      </rPr>
      <t>5</t>
    </r>
  </si>
  <si>
    <r>
      <t>Administrācija</t>
    </r>
    <r>
      <rPr>
        <vertAlign val="superscript"/>
        <sz val="14"/>
        <rFont val="Times New Roman"/>
        <family val="1"/>
      </rPr>
      <t>6</t>
    </r>
  </si>
  <si>
    <r>
      <t>Pārējais personāls (t.sk. sanitāri)</t>
    </r>
    <r>
      <rPr>
        <vertAlign val="superscript"/>
        <sz val="14"/>
        <rFont val="Times New Roman"/>
        <family val="1"/>
      </rPr>
      <t>7</t>
    </r>
  </si>
  <si>
    <r>
      <t xml:space="preserve">Darbinieku </t>
    </r>
    <r>
      <rPr>
        <b/>
        <u/>
        <sz val="14"/>
        <rFont val="Times New Roman"/>
        <family val="1"/>
      </rPr>
      <t xml:space="preserve">vidējie </t>
    </r>
    <r>
      <rPr>
        <b/>
        <sz val="14"/>
        <rFont val="Times New Roman"/>
        <family val="1"/>
      </rPr>
      <t xml:space="preserve">ienākumi mēnesī: </t>
    </r>
  </si>
  <si>
    <r>
      <t>Kopējā slimnīcas telpu platība  (m</t>
    </r>
    <r>
      <rPr>
        <vertAlign val="superscript"/>
        <sz val="14"/>
        <rFont val="Times New Roman"/>
        <family val="1"/>
      </rPr>
      <t>2</t>
    </r>
    <r>
      <rPr>
        <sz val="14"/>
        <rFont val="Times New Roman"/>
        <family val="1"/>
      </rPr>
      <t>), t.sk.:</t>
    </r>
  </si>
  <si>
    <r>
      <t>Ūdens patēriņš  ( m</t>
    </r>
    <r>
      <rPr>
        <vertAlign val="superscript"/>
        <sz val="14"/>
        <rFont val="Times New Roman"/>
        <family val="1"/>
      </rPr>
      <t>3</t>
    </r>
    <r>
      <rPr>
        <sz val="14"/>
        <rFont val="Times New Roman"/>
        <family val="1"/>
      </rPr>
      <t>)</t>
    </r>
  </si>
  <si>
    <r>
      <t>Kanalizācija  (m</t>
    </r>
    <r>
      <rPr>
        <vertAlign val="superscript"/>
        <sz val="14"/>
        <rFont val="Times New Roman"/>
        <family val="1"/>
      </rPr>
      <t>3</t>
    </r>
    <r>
      <rPr>
        <sz val="14"/>
        <rFont val="Times New Roman"/>
        <family val="1"/>
      </rPr>
      <t>)</t>
    </r>
  </si>
  <si>
    <r>
      <t>Stacionāro pakalpojumu sniegšanai izmantotie medikamenti uz gultas dienu</t>
    </r>
    <r>
      <rPr>
        <vertAlign val="superscript"/>
        <sz val="14"/>
        <rFont val="Times New Roman"/>
        <family val="1"/>
      </rPr>
      <t>8</t>
    </r>
  </si>
  <si>
    <r>
      <rPr>
        <vertAlign val="superscript"/>
        <sz val="14"/>
        <rFont val="Times New Roman"/>
        <family val="1"/>
      </rPr>
      <t>1</t>
    </r>
    <r>
      <rPr>
        <sz val="14"/>
        <rFont val="Times New Roman"/>
        <family val="1"/>
      </rPr>
      <t>- ar jēdzienu "vidējais" saprotams rādītāja vērtība katra mēneša pēdējā datumā un summu dalot ar mēnešu skaitu pārskata periodā</t>
    </r>
  </si>
  <si>
    <r>
      <rPr>
        <vertAlign val="superscript"/>
        <sz val="14"/>
        <rFont val="Times New Roman"/>
        <family val="1"/>
      </rPr>
      <t>2</t>
    </r>
    <r>
      <rPr>
        <sz val="14"/>
        <rFont val="Times New Roman"/>
        <family val="1"/>
      </rPr>
      <t>- hospitalizāciju skaits, bez fiktīvās izrakstīšanās (kustība 39) attiecīgā perioda ietvaros</t>
    </r>
  </si>
  <si>
    <r>
      <rPr>
        <vertAlign val="superscript"/>
        <sz val="14"/>
        <rFont val="Times New Roman"/>
        <family val="1"/>
      </rPr>
      <t>3</t>
    </r>
    <r>
      <rPr>
        <sz val="14"/>
        <rFont val="Times New Roman"/>
        <family val="1"/>
      </rPr>
      <t>- sertificēti  ārsti, zobārsti un funkcionālie speciālisti, reģistrēti ārsti, zobārsti un funkcionālie speciālisti, rezidenti</t>
    </r>
  </si>
  <si>
    <r>
      <rPr>
        <vertAlign val="superscript"/>
        <sz val="14"/>
        <rFont val="Times New Roman"/>
        <family val="1"/>
      </rPr>
      <t>4</t>
    </r>
    <r>
      <rPr>
        <sz val="14"/>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</si>
  <si>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4"/>
        <rFont val="Times New Roman"/>
        <family val="1"/>
      </rPr>
      <t>5</t>
    </r>
    <r>
      <rPr>
        <sz val="14"/>
        <rFont val="Times New Roman"/>
        <family val="1"/>
      </rPr>
      <t>- māsu palīgi, zobārsta asistenti</t>
    </r>
  </si>
  <si>
    <r>
      <rPr>
        <vertAlign val="superscript"/>
        <sz val="14"/>
        <rFont val="Times New Roman"/>
        <family val="1"/>
      </rPr>
      <t>6</t>
    </r>
    <r>
      <rPr>
        <sz val="14"/>
        <rFont val="Times New Roman"/>
        <family val="1"/>
      </rPr>
      <t>- valde, padome, valdes/padomes birojs, ārstniecības personām, kuras tiešā veidā nav saistītas ar pacientu ārstēšanu -  klīniku vadītājiem, virsārstiem, profila virsārstiem, vecākajiem ārstiem, galvenajām māsām, ārstiem koordinatoriem u.c</t>
    </r>
  </si>
  <si>
    <r>
      <rPr>
        <vertAlign val="superscript"/>
        <sz val="14"/>
        <rFont val="Times New Roman"/>
        <family val="1"/>
      </rPr>
      <t>7</t>
    </r>
    <r>
      <rPr>
        <sz val="14"/>
        <rFont val="Times New Roman"/>
        <family val="1"/>
      </rPr>
      <t>- Saimnieciskais personāls, ārstniecības un aprūpes procesu atbalsta personāls (t.sk. sanitāri)</t>
    </r>
  </si>
  <si>
    <r>
      <rPr>
        <vertAlign val="superscript"/>
        <sz val="14"/>
        <rFont val="Times New Roman"/>
        <family val="1"/>
      </rPr>
      <t>8</t>
    </r>
    <r>
      <rPr>
        <sz val="14"/>
        <rFont val="Times New Roman"/>
        <family val="1"/>
      </rPr>
      <t>- Medikamenti, medicīnas preces, implanti, sterilizācijas materiāli, medicīnas instrumenti, laboratorijas preces stacionāro pakalpojumu nodrošināšanai (bez bezmaksas medikamnetiem un med. Precēm)/ Stacionāra gultu dienu skaits</t>
    </r>
  </si>
  <si>
    <t>Kopējais stacionēto pacientu īpatsvars  no kopējā gadījumu skaita uzņemšanas nodaļā, % (23212/23110)</t>
  </si>
  <si>
    <r>
      <t>Valsts apmaksāto hospitalizācijas</t>
    </r>
    <r>
      <rPr>
        <i/>
        <vertAlign val="superscript"/>
        <sz val="14"/>
        <rFont val="Times New Roman"/>
        <family val="1"/>
      </rPr>
      <t>2</t>
    </r>
    <r>
      <rPr>
        <i/>
        <sz val="14"/>
        <rFont val="Times New Roman"/>
        <family val="1"/>
      </rPr>
      <t xml:space="preserve"> gadījumu skaits</t>
    </r>
  </si>
  <si>
    <r>
      <t>Valsts apmaksāto plānveida hospitalizācijas</t>
    </r>
    <r>
      <rPr>
        <i/>
        <vertAlign val="superscript"/>
        <sz val="14"/>
        <rFont val="Times New Roman"/>
        <family val="1"/>
      </rPr>
      <t>2</t>
    </r>
    <r>
      <rPr>
        <i/>
        <sz val="14"/>
        <rFont val="Times New Roman"/>
        <family val="1"/>
      </rPr>
      <t xml:space="preserve"> gadījumu skaits</t>
    </r>
  </si>
  <si>
    <r>
      <t>Valsts apmaksāto neatliekamo hospitalizācijas</t>
    </r>
    <r>
      <rPr>
        <i/>
        <vertAlign val="superscript"/>
        <sz val="14"/>
        <rFont val="Times New Roman"/>
        <family val="1"/>
      </rPr>
      <t>2</t>
    </r>
    <r>
      <rPr>
        <i/>
        <sz val="14"/>
        <rFont val="Times New Roman"/>
        <family val="1"/>
      </rPr>
      <t xml:space="preserve"> gadījumu skaits</t>
    </r>
  </si>
  <si>
    <t>Vidējais gultu noslogojums diennakts stacionārā, %</t>
  </si>
  <si>
    <t>Vidējais gultu noslogojums dienas stacionārā, %</t>
  </si>
  <si>
    <t>16 Izdevumi kapitālajiem ieguldījumiem nomātajos pamatlīdzekļos</t>
  </si>
  <si>
    <t>2 Attīstības pasākumu un programmu izmaksas un izdevumus, ja zināms, ka projektu pabeigs un no projekta rezultātiem budžeta iestāde turpmāk gūs labumu. Attīstības pasākumi un programmas ir pētniecības, atklājumu vai citu zināšanu izmantošana jaunu (vai būtiski uzlabotu) materiālu, ierīču, produktu, procesu, sistēmu vai pakalpojumu ražošanas plānā vai izstrādē pirms komerciālas ražošanas vai izmantošanas uzsākšanas. Šo kodu piemēro arī tehniskajām izstrādēm, kas sagatavo pētniecības rezultātu līdz izmēģinājuma paraugam</t>
  </si>
  <si>
    <t>3 Izdevumi datorprogrammām un to licencēm</t>
  </si>
  <si>
    <t>4 Izdevumi pārējiem iepriekš neklasificētiem nemateriāliem aktīviem</t>
  </si>
  <si>
    <t>5 Izdevumi nedzīvojamām ēkām, kuras izmanto pašu vajadzībām, kā arī izīrējamām un iznomājamām nedzīvojamām ēkām. Nedzīvojamās ēkas ir ēkas, kuras netiek izmantotas vai nav paredzētas dzīvošanai, ieskaitot aprīkojumu, ierīces un iekārtas, kas ir ēku neatņemama sastāvdaļa.</t>
  </si>
  <si>
    <t>6 Izdevumi zemes iegādei, uz kuras uzbūvētas ēkas vai to pamati. Piemēro arī pagalmu, dārzu teritoriju un to iebrauktuvju (ko uzskata par mājas neatdalāmu sastāvdaļu) iegādes izmaksām.</t>
  </si>
  <si>
    <t>7 Izdevumi pārējās iepriekš neklasificētās zemes (karjeri, kapu teritorijas, meža zemes) iegādei</t>
  </si>
  <si>
    <t>8 Izdevumi celtnēm, būvēm, izbūvēm, ieskaitot aprīkojumu, ierīces un iekārtas, kas ir celtņu un būvju neatņemama sastāvdaļa (ūdens uzkrāšanas būves, meliorācijas sistēmas, sakaru un elektropārvades līnijas, cauruļvadus, ūdensvadu, siltumtrašu, kanalizācijas tīklus, sporta, atpūtas būves un citas būves un celtnes).</t>
  </si>
  <si>
    <t>9 Izdevumi pārējā iepriekš neklasificētā nekustamā īpašuma iegādei</t>
  </si>
  <si>
    <t>10 Izdevumi nepabeigtajai būvniecībai līdz objekta nodošanai ekspluatācijā</t>
  </si>
  <si>
    <t>11 Izdevumi iekārtām un mašīnām, ko izmanto budžeta iestādes pašas vajadzībām tās funkciju vai pakalpojumu izpildes nodrošināšanai (iekārtas, mēraparatūra, regulēšanas ierīces, laboratoriju un medicīnas iekārtas)</t>
  </si>
  <si>
    <t>12 Izdevumi tādiem pamatlīdzekļiem kā automobiļi, motocikli, velosipēdi, piekabes, puspiekabes, dzelzceļa lokomotīves un citi transportlīdzekļi</t>
  </si>
  <si>
    <t>13 Izdevumi tādiem pamatlīdzekļiem kā kancelejas mēbeles, ledusskapji, televizori, mikroviļņu krāsnis, lustras un pārējā telpu iekārta. Kodā uzskaita tos pamatlīdzekļus, kurus izmanto iestādes saimnieciskās darbības nodrošināšanai</t>
  </si>
  <si>
    <t>14 Izdevumiem tādiem ilgtermiņa aktīviem kā datori, serveri, kopētāji, faksa aparāti, telefoni, telefonu centrāles un cita biroja tehnika</t>
  </si>
  <si>
    <t>15 Izdvumi citu iepriekš neklasificētu pamatlīdzekļu iegādei un izdevumu atzīšanā</t>
  </si>
  <si>
    <r>
      <t xml:space="preserve">Attīstības pasākumi un programmas </t>
    </r>
    <r>
      <rPr>
        <vertAlign val="superscript"/>
        <sz val="14"/>
        <rFont val="Times New Roman"/>
        <family val="1"/>
      </rPr>
      <t xml:space="preserve">2 </t>
    </r>
    <r>
      <rPr>
        <sz val="14"/>
        <rFont val="Times New Roman"/>
        <family val="1"/>
      </rPr>
      <t xml:space="preserve"> t.sk.:</t>
    </r>
  </si>
  <si>
    <r>
      <t xml:space="preserve">Datorprogrammas </t>
    </r>
    <r>
      <rPr>
        <vertAlign val="superscript"/>
        <sz val="14"/>
        <rFont val="Times New Roman"/>
        <family val="1"/>
      </rPr>
      <t xml:space="preserve">3 </t>
    </r>
    <r>
      <rPr>
        <sz val="14"/>
        <rFont val="Times New Roman"/>
        <family val="1"/>
      </rPr>
      <t xml:space="preserve"> t.sk.:</t>
    </r>
  </si>
  <si>
    <r>
      <t xml:space="preserve">Pārējie nemateriālie ieguldījumi </t>
    </r>
    <r>
      <rPr>
        <vertAlign val="superscript"/>
        <sz val="14"/>
        <rFont val="Times New Roman"/>
        <family val="1"/>
      </rPr>
      <t>4</t>
    </r>
    <r>
      <rPr>
        <sz val="14"/>
        <rFont val="Times New Roman"/>
        <family val="1"/>
      </rPr>
      <t xml:space="preserve">  t.sk.:</t>
    </r>
  </si>
  <si>
    <r>
      <t xml:space="preserve">Nedzīvojamās ēkas </t>
    </r>
    <r>
      <rPr>
        <vertAlign val="superscript"/>
        <sz val="14"/>
        <rFont val="Times New Roman"/>
        <family val="1"/>
      </rPr>
      <t>5</t>
    </r>
  </si>
  <si>
    <r>
      <t xml:space="preserve">Zeme zem ēkām un būvēm </t>
    </r>
    <r>
      <rPr>
        <vertAlign val="superscript"/>
        <sz val="14"/>
        <rFont val="Times New Roman"/>
        <family val="1"/>
      </rPr>
      <t>6</t>
    </r>
  </si>
  <si>
    <r>
      <t xml:space="preserve">Pārējā zeme </t>
    </r>
    <r>
      <rPr>
        <vertAlign val="superscript"/>
        <sz val="14"/>
        <rFont val="Times New Roman"/>
        <family val="1"/>
      </rPr>
      <t>7</t>
    </r>
  </si>
  <si>
    <r>
      <t xml:space="preserve">Celtnes un būves </t>
    </r>
    <r>
      <rPr>
        <vertAlign val="superscript"/>
        <sz val="14"/>
        <rFont val="Times New Roman"/>
        <family val="1"/>
      </rPr>
      <t>8</t>
    </r>
  </si>
  <si>
    <r>
      <t xml:space="preserve">Pārējais nekustamais īpašums </t>
    </r>
    <r>
      <rPr>
        <vertAlign val="superscript"/>
        <sz val="14"/>
        <rFont val="Times New Roman"/>
        <family val="1"/>
      </rPr>
      <t>9</t>
    </r>
  </si>
  <si>
    <r>
      <t xml:space="preserve">Nepabeigtā būvniecība </t>
    </r>
    <r>
      <rPr>
        <vertAlign val="superscript"/>
        <sz val="14"/>
        <rFont val="Times New Roman"/>
        <family val="1"/>
      </rPr>
      <t>10</t>
    </r>
  </si>
  <si>
    <r>
      <t xml:space="preserve">Tehnoloģiskās iekārtas un mašīnas </t>
    </r>
    <r>
      <rPr>
        <vertAlign val="superscript"/>
        <sz val="14"/>
        <rFont val="Times New Roman"/>
        <family val="1"/>
      </rPr>
      <t xml:space="preserve">11 </t>
    </r>
    <r>
      <rPr>
        <sz val="14"/>
        <rFont val="Times New Roman"/>
        <family val="1"/>
      </rPr>
      <t xml:space="preserve"> t.sk.:</t>
    </r>
  </si>
  <si>
    <r>
      <t xml:space="preserve">Transportlīdzekļi </t>
    </r>
    <r>
      <rPr>
        <vertAlign val="superscript"/>
        <sz val="14"/>
        <rFont val="Times New Roman"/>
        <family val="1"/>
      </rPr>
      <t xml:space="preserve">12 </t>
    </r>
    <r>
      <rPr>
        <sz val="14"/>
        <rFont val="Times New Roman"/>
        <family val="1"/>
      </rPr>
      <t xml:space="preserve"> t.sk.:</t>
    </r>
  </si>
  <si>
    <r>
      <t xml:space="preserve">Saimniecības pamatlīdzekļi </t>
    </r>
    <r>
      <rPr>
        <vertAlign val="superscript"/>
        <sz val="14"/>
        <rFont val="Times New Roman"/>
        <family val="1"/>
      </rPr>
      <t>13</t>
    </r>
    <r>
      <rPr>
        <sz val="14"/>
        <rFont val="Times New Roman"/>
        <family val="1"/>
      </rPr>
      <t xml:space="preserve">  t.sk.:</t>
    </r>
  </si>
  <si>
    <r>
      <t xml:space="preserve">Datortehnika, sakaru un cita biroja tehnika </t>
    </r>
    <r>
      <rPr>
        <vertAlign val="superscript"/>
        <sz val="14"/>
        <rFont val="Times New Roman"/>
        <family val="1"/>
      </rPr>
      <t>14</t>
    </r>
    <r>
      <rPr>
        <sz val="14"/>
        <rFont val="Times New Roman"/>
        <family val="1"/>
      </rPr>
      <t xml:space="preserve"> t.sk.:</t>
    </r>
  </si>
  <si>
    <r>
      <t xml:space="preserve">Pārējie iepriekš neklasificētie pamatlīdzekļi </t>
    </r>
    <r>
      <rPr>
        <vertAlign val="superscript"/>
        <sz val="14"/>
        <rFont val="Times New Roman"/>
        <family val="1"/>
      </rPr>
      <t xml:space="preserve">15 </t>
    </r>
    <r>
      <rPr>
        <sz val="14"/>
        <rFont val="Times New Roman"/>
        <family val="1"/>
      </rPr>
      <t xml:space="preserve"> t.sk.:</t>
    </r>
  </si>
  <si>
    <r>
      <t xml:space="preserve">Ilgtermiņa ieguldījumi nomātajos pamatlīdzekļos </t>
    </r>
    <r>
      <rPr>
        <vertAlign val="superscript"/>
        <sz val="14"/>
        <rFont val="Times New Roman"/>
        <family val="1"/>
      </rPr>
      <t>16</t>
    </r>
    <r>
      <rPr>
        <sz val="14"/>
        <rFont val="Times New Roman"/>
        <family val="1"/>
      </rPr>
      <t xml:space="preserve"> t.sk.:</t>
    </r>
  </si>
  <si>
    <r>
      <t xml:space="preserve">Ieguldījumu pozīcija </t>
    </r>
    <r>
      <rPr>
        <vertAlign val="superscript"/>
        <sz val="14"/>
        <rFont val="Times New Roman"/>
        <family val="1"/>
      </rPr>
      <t>1</t>
    </r>
  </si>
  <si>
    <t>no ESF (Eiropas Struktūrfondi) līdzekļiem (sadalījumā pa projektiem), t.sk.</t>
  </si>
  <si>
    <t>no VGA (Valsts galvotais aizdevums) līdzekļiem (sadalījumā pa projektiem), t.sk.</t>
  </si>
  <si>
    <t>no Valsts budžeta līdzekļiem (sadalījumā pa pasākumiem/projektiem), t.sk.</t>
  </si>
  <si>
    <t>no pašu līdzekļiem (sadalījumā pa pasākumiem/projektiem), t.sk.</t>
  </si>
  <si>
    <t>no citiem līdzekļiem (sadalījumā pa pasākumiem/projektiem), t.sk.</t>
  </si>
  <si>
    <t>no ESF (Eiropas Struktūrfondi) līdzekļiem  (sadalījumā pa projektiem), t.sk.</t>
  </si>
  <si>
    <r>
      <t xml:space="preserve">Dotācija no pašvaldības budžeta kopā </t>
    </r>
    <r>
      <rPr>
        <i/>
        <sz val="14"/>
        <rFont val="Times New Roman"/>
        <family val="1"/>
      </rPr>
      <t>(sadalījumā pa projektiem un/vai finansējuma mērķiem), t.sk.</t>
    </r>
  </si>
  <si>
    <r>
      <t xml:space="preserve">Valsts budžeta līdzekļi kopā </t>
    </r>
    <r>
      <rPr>
        <i/>
        <sz val="14"/>
        <rFont val="Times New Roman"/>
        <family val="1"/>
      </rPr>
      <t>(sadalījumā pa projektiem un/vai finansējuma mērķiem), t.sk.</t>
    </r>
  </si>
  <si>
    <r>
      <t xml:space="preserve">Citi līdzekļi kopā </t>
    </r>
    <r>
      <rPr>
        <i/>
        <sz val="14"/>
        <rFont val="Times New Roman"/>
        <family val="1"/>
      </rPr>
      <t>(sadalījumā pa projektiem un/vai finansējuma mērķiem), t.sk.</t>
    </r>
  </si>
  <si>
    <r>
      <t xml:space="preserve">Ziedojumi </t>
    </r>
    <r>
      <rPr>
        <i/>
        <sz val="14"/>
        <rFont val="Times New Roman"/>
        <family val="1"/>
      </rPr>
      <t>(sadalījumā pa projektiem un/vai finansējuma mērķiem), t.sk.</t>
    </r>
  </si>
  <si>
    <r>
      <t xml:space="preserve">Pamatlīdzekļu un nemateriālo ieguldījumu iegāde kopā </t>
    </r>
    <r>
      <rPr>
        <b/>
        <vertAlign val="superscript"/>
        <sz val="14"/>
        <rFont val="Times New Roman"/>
        <family val="1"/>
      </rPr>
      <t>1</t>
    </r>
  </si>
  <si>
    <t>1 Aizpildot naudas plūsmas plānu pamatlīdzekļiem un nemateriāliem ieguldījumiem līdzīgie pamatlīdzekļi  pēc nomenklatūras  jāapvieno grupās, norādot iepērkamo pamatlīdzekļu daudzumu</t>
  </si>
  <si>
    <t>1 Aizpildot ieguldījumu tāmi līdzīgie pēc nomenklatūras pamatlīdzekļi un nemateriālie ieguldījumi jāapvieno grupās, norādot iepērkamo pamatlīdzekļu daudzumu</t>
  </si>
  <si>
    <r>
      <t>Atkārtoti hospitalizēto pacientu skaits, neieskaitot pacientus, kuriem nākamā hospitalizācija ir aprūpe vai rehabilitācija</t>
    </r>
    <r>
      <rPr>
        <vertAlign val="superscript"/>
        <sz val="14"/>
        <rFont val="Times New Roman"/>
        <family val="1"/>
      </rPr>
      <t>9</t>
    </r>
  </si>
  <si>
    <r>
      <t>Atkārtoti hospitalizēto pacientu skaits, kuriem nākamā hospitalizācija ir aprūpe,  rehabilitācija vai nākamais ārstēšanas posms</t>
    </r>
    <r>
      <rPr>
        <vertAlign val="superscript"/>
        <sz val="14"/>
        <rFont val="Times New Roman"/>
        <family val="1"/>
      </rPr>
      <t>10</t>
    </r>
  </si>
  <si>
    <r>
      <t>Ambultatori izdarīto operāciju skaits</t>
    </r>
    <r>
      <rPr>
        <vertAlign val="superscript"/>
        <sz val="14"/>
        <rFont val="Times New Roman"/>
        <family val="1"/>
      </rPr>
      <t>11</t>
    </r>
    <r>
      <rPr>
        <sz val="14"/>
        <rFont val="Times New Roman"/>
        <family val="1"/>
      </rPr>
      <t>, t.sk.:</t>
    </r>
  </si>
  <si>
    <t>Ārstniecības personu īpatsvars, kas veic virsstundu darbu, no kopējā ārtsniecības personu skaita, %</t>
  </si>
  <si>
    <r>
      <rPr>
        <vertAlign val="superscript"/>
        <sz val="14"/>
        <rFont val="Times New Roman"/>
        <family val="1"/>
      </rPr>
      <t xml:space="preserve">9 </t>
    </r>
    <r>
      <rPr>
        <sz val="14"/>
        <rFont val="Times New Roman"/>
        <family val="1"/>
      </rPr>
      <t>- 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</si>
  <si>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4"/>
        <rFont val="Times New Roman"/>
        <family val="1"/>
      </rPr>
      <t>10</t>
    </r>
    <r>
      <rPr>
        <sz val="11"/>
        <color theme="1"/>
        <rFont val="Calibri"/>
        <family val="2"/>
        <charset val="186"/>
        <scheme val="minor"/>
      </rPr>
      <t xml:space="preserve"> </t>
    </r>
    <r>
      <rPr>
        <sz val="14"/>
        <rFont val="Times New Roman"/>
        <family val="1"/>
      </rPr>
      <t>- rehospitalizāciju skaitā ieskaita pacientus, kas atkārtoti hospitalizēti tajā pašā vai nākamajā dienā, kuru nākamā hospitalizācija ir aprūpe vai rehabilitācija (atbilstoši NVD mājas lapā publicētā</t>
    </r>
  </si>
  <si>
    <t>"Pārskats par uz mājām izrakstītiem pacientiem, kas atkārtoti hospitalizēti tajā pašā vai nākamajā dienā" izslēgšanas kritērijos GPF kodam</t>
  </si>
  <si>
    <r>
      <rPr>
        <vertAlign val="superscript"/>
        <sz val="14"/>
        <rFont val="Times New Roman"/>
        <family val="1"/>
      </rPr>
      <t>11</t>
    </r>
    <r>
      <rPr>
        <sz val="14"/>
        <rFont val="Times New Roman"/>
        <family val="1"/>
      </rPr>
      <t>- atbilstoši NVD mājas lapā publocētajam "Valsts apmaksājamo manipulāciju un to apmaksas nosacījumu saraksts" Lielo ķirurģisko operāciju klasifikatoram (10.kolonna)</t>
    </r>
  </si>
  <si>
    <t xml:space="preserve">* "PZ_Aprēķins" un "Bilance" tiek sagatavots atbilstoši Kapitālsabiedrības valdes apstiprinātajai grāmatvedības politikai un standartiem. "PZ_Aprēķins", "Bilance" un "Naudas_plūsma" datiem jābūt loģiski savstarpēji saistītiem. </t>
  </si>
  <si>
    <t>* budžeta kodu klasifikācija sadaļā II " IZDEVUMI SAIMNIECISKĀS DARBĪBAS NODROŠINĀŠANAI KOPĀ" atbilst Ministru Kabineta noteikumiem 1031 Noteikumi par budžetu izdevumu klasifikāciju atbilstoši ekonomiskajām kategorijām" un jāpiemēro šo MK noteikumu skaidrojumi atbilstošiem EKK</t>
  </si>
  <si>
    <t>27200</t>
  </si>
  <si>
    <t>27110</t>
  </si>
  <si>
    <t>27300</t>
  </si>
  <si>
    <t>Instrumentu piegāde spinālajām operācijām</t>
  </si>
  <si>
    <t>Metāla medicīnisko mēbeļu piegāde operāciju blokiem</t>
  </si>
  <si>
    <t>Videolaringoskopa piegāde</t>
  </si>
  <si>
    <t>Desktop datori</t>
  </si>
  <si>
    <t>Monitori</t>
  </si>
  <si>
    <t>2021.gada
 plāns</t>
  </si>
  <si>
    <t>2021.gada izpilde</t>
  </si>
  <si>
    <t>2022.gada
 3 mēn. plāns</t>
  </si>
  <si>
    <t>2022.gada
 6 mēn. plāns</t>
  </si>
  <si>
    <t>2022.gada
 9 mēn. plāns</t>
  </si>
  <si>
    <t>2022.gada
 12 mēn. plāns</t>
  </si>
  <si>
    <t>Izmaiņas, salīdzinot ar 2021.gada izpildi, euro</t>
  </si>
  <si>
    <t>Izmaiņas, salīdzinot ar  2021.gada izpildi, %</t>
  </si>
  <si>
    <t>2021. gada izpilde</t>
  </si>
  <si>
    <t>Portatīvās anestēzijas mašīnas piegāde</t>
  </si>
  <si>
    <t>Sonoskopa piegāde</t>
  </si>
  <si>
    <t>Operāciju galdu pufu piegāde</t>
  </si>
  <si>
    <t>Aprūpes inventāra un medicīnisko mēbeļu piegāde</t>
  </si>
  <si>
    <t>Spēka un pneimatisko instrumentu komplektācijas daļu nomaiņa un papildināšana</t>
  </si>
  <si>
    <t>Medicīnisko ierīču piegāde patohistoloģijas laboratorijai</t>
  </si>
  <si>
    <t>Operāciju zāles medicīniskās aparatūras piegāde</t>
  </si>
  <si>
    <t>Artroskopisko instrumentu un aparatūras piegāde</t>
  </si>
  <si>
    <t>Mobilās ķirurģiskās C-loka iekārtas piegāde</t>
  </si>
  <si>
    <t>Rentgena aizsargtērpu piegāde</t>
  </si>
  <si>
    <t>Universiālo akumulatora tipa spēka instrumentu komplektu ar savienojumiem piegāde</t>
  </si>
  <si>
    <t>Pacientu monitoru piegāde</t>
  </si>
  <si>
    <t>Apavu mazgājamās mašīnas piegāde</t>
  </si>
  <si>
    <t>Funkcionālo pacientu gultu ar galdiņiem piegāde</t>
  </si>
  <si>
    <t>Gaisa dezinfekcijas un attīrīšanas iekārtu piegāde</t>
  </si>
  <si>
    <t>Kondicionieru piegāde un uzstādīšana</t>
  </si>
  <si>
    <t>Biroja mēbeļu piegāde</t>
  </si>
  <si>
    <t xml:space="preserve">Rindu sistēmas aprīkojums Uzņemšanas nodaļā </t>
  </si>
  <si>
    <t>Rindu sistēmas aprīkojums Ambulatorā nod</t>
  </si>
  <si>
    <t>Informatīvie displeji Ambulatorajā nodaļā</t>
  </si>
  <si>
    <t xml:space="preserve">Apskaņošanas sistēma Uzņermšanas nodaļā </t>
  </si>
  <si>
    <t>Yealink telefona centrāle</t>
  </si>
  <si>
    <t>Datori (All in one)</t>
  </si>
  <si>
    <t>Laptops (IT nodaļas vajadzībām)</t>
  </si>
  <si>
    <t>Printeri</t>
  </si>
  <si>
    <t>Jauns karšu printeris Personāla daļai</t>
  </si>
  <si>
    <t>Procesori</t>
  </si>
  <si>
    <t>Plānota summa atbilstoši līguma ar NVD "Par stacionāro veselības aprūpes pakalpojumu apmaksu" finanšu paziņojumā 2022.g. norādītajam</t>
  </si>
  <si>
    <t>Plānota summa atbilstoši līguma ar NVD "Par sekundāro ambulatoro veselības aprūpes pakalpojumu apmaksu" finanšu paziņojumā 2022.g. norādītajam</t>
  </si>
  <si>
    <t>Plānots 2022.g. palielināt subakūtās rehabilitācijas pakalpojumu skaitu, kas 2021.g.  COVID-19 ārkārtas situācijas dēļ sniegti minimālā apjomā</t>
  </si>
  <si>
    <t>Investīcju ieņēmumu pieaugums plānots ņemot vērā paredzamo projektu nolietojumu</t>
  </si>
  <si>
    <t>No 20.04.2021. līdz 21.10.2021. slimnīcas valdē nodarināti divi cilvēki, līdz ar to faktiskie izdevumi valdes algām bija mazāk nekā plānots iepriekš. 2022. gada algu izdevumi plānoti ņemot vērā, ka slimnīcas valdē nodarbināti 3 cilvēki.</t>
  </si>
  <si>
    <t>Ņemot vērā iepriekšējā gada Covid izplatību, lai nodrošinātu slimnīcas darbību, darbiniekiem nācās strādāt papildus virsstundas, lai aizvietotu kolēģus, kuri atradās uz slimības lapas vai karantīnā, līdz ar to šogad plānots, ka nostrādātās virsstundas varētu samazināties ņemot vērā, ka ir dažādi atvieglojumi saistībā ar Covid karantīnu, līdz ar to darbinieki var ātrāk atgriezsties darbā, kas mazinās noslodzi citiem darbiniekiem.</t>
  </si>
  <si>
    <t>Maksas pakalpojumu pieaugums plānots ņemot vērā 2021. un 2022 gada janvāra mēneša izpildi. Pieaugums attiecīgajā periodā 33.6 %</t>
  </si>
  <si>
    <t>Palielinājies rezidentu skaits, plānots darba samaksas pieaugums.</t>
  </si>
  <si>
    <t>Plānots komunālo maksājumu pieaugums nomniekiem</t>
  </si>
  <si>
    <t>Par siltumenerģiju palielinās tarifs uz vienu MWh - 2021. gada augustā  65.43 eiro,  decembrī 121.39 eiro 2022.gada janvārī 160.14 eiro.</t>
  </si>
  <si>
    <t>Sadzives atkritumu izvešanai tarifa pieaugums par1 m3 no 14.24 eiro uz 20.04 eiro.</t>
  </si>
  <si>
    <t>2022. gadam paredzēti lielāki izdevumi medicīnas personāla apmācības semināriem, kursiem.</t>
  </si>
  <si>
    <t>2022. gadā paredzēti lielākie remontdarbi - 5. operācijas bloka (1 zāles) kosmētiekais remonts par 50000 eiro; bojāto grīdas seguma nomaiņai, sienas un griestu atjaunošanas darbiem pagrabstāvā Duntes 22 k-3 par 64000 eiro; bojātā aukstā ūdensvada nomaiņai 50000 eiro, brauktuves seguma atjaunošanas darbiem paredzēti 40000 eiro.</t>
  </si>
  <si>
    <t>2022. gadā paredzēti lielāki izdevumi  juridiskās palīdzības saņemšanai, konsultāciju  sniegšanai un atzinuma sagatavošana par iespējamo tiesvedības procesa uzsākšanu lietā par līgumsoda un zaudējumu piedziņu .</t>
  </si>
  <si>
    <t>2022.gadam plānojam mazākus izdevumus inventāram - vienreiz lietojamie kombinezoni (aizsargtērpi),respiratori paaugstinātai drošībai, bahilas garās iegādei.</t>
  </si>
  <si>
    <t>Degvielas cenas kāpums ietekmē plānu 2022. gadam - 2021.gada janvārī cena degvielai par 1 litru 0.96 eiro, bet 2021. gada decembrī -1.20 eiro.</t>
  </si>
  <si>
    <t>2022. gadā plānojam veikt lielāku skaitu endoprotēžu operāciju.</t>
  </si>
  <si>
    <t>2022.gadam plāns ēdināšanas pakalpojuma izmaksām lielāks - no 2021. gada novembra par vienu porciju palielinājās cena par 0.37 eiro.</t>
  </si>
  <si>
    <t>Pievienotā vertības nodokļa likmes pieauguma segšanai medicīniskajām ierīcem un precēm plāns lielāks kā 2021. gada izpilde vidēji par 6%.</t>
  </si>
  <si>
    <t>Dabas resursu nodoklis piesārņojuma mazināšanai un ekonomiskai dabas resursu izmantošanai likmju paaugstināšana CO2 emisijai cena 2022.gadā paaugstinās par 1 tonnu par 3.00 eiro.</t>
  </si>
  <si>
    <t>Nedrošie debitoru parādi vidēji palielinās 2018-2021. gadu griezumā  par 30000 eiro.</t>
  </si>
  <si>
    <t>2022. gadā ir paredzēti izdevumi dalības maksām uz ārvalstīm - 2022.gada novembrī uz kursiem Strasbūrā.</t>
  </si>
  <si>
    <t xml:space="preserve">Noslēgtam līgumam no 2022.gada aprīļa pie summas 250000 eiro bez PVN klāt nāks izmaksas par obligatā iepirkuma komponenti un sistēmas pakalpojumu tarifs. Šīs izmaksas elektroenerģiojas tirgotājs katru mēnesi iesniegs kopā ar patērētās elektroenerģijas rēķinu. </t>
  </si>
  <si>
    <t>Ņemot vēra 2021.gada ārkāras stāvokli saistībā ar Covid 19, tika ierobežoti medicīnas pakalpojumi, saistībā ar Covid izplatību vai darbinieku slimošanu. 2022. gadā plānots, ka medicīninas pakalpojumus varēs sniegt nepārtraukti, kā rezultātā palielināsies piemaksas medicinās personālam saistībā ar pacientu aprūpi un veiktajām manipulācijām.</t>
  </si>
  <si>
    <t>Lai motivētu vidējo un jaunāko medicīnas personāku, katru gadu Māsu dienā darbiniekiem tiek izmaksātas simboliskas prēmijas, pateicībā par kvalitatīvi veiktu darbu. 2022.gadā plānots pieaugums, ņemot vērā darbinieku mainību (ņemot vērā personāla rādītājus 2022. gadā plānots palielināt darbinieku skaitu).</t>
  </si>
  <si>
    <t>Ņemot vērā, ka plānots atcelt ārkārtas stāvokli saistībā ar Covid19, ir plānots, ka mainīsies slimības lapu apmaksas kārtībā. 2022. gadā plānots, ka palielināsies A lapu apjoms, salīdzinot ar 2021. gadu, kad darbiniekiem pārsvarā tika izsniegtas slimības lapas B saistībā ar Covid19. 2021.gadā slimības lapu apjoms salīdzinot ar 2020.gadu kritās par 7% un slimošanas ilgums par 14.4%. Plānos, ka slimības lapu apjoms 2022. gadā atgriezīsies iepriekšējo gadu līmenī. No 01.01.2022. medicīnas personālam palielinātas algas par aptuveni 4.2%.</t>
  </si>
  <si>
    <t>2022. gadā komisijas maksājumiem pieaugums - atvērts konts SEB bankā e-komercijas pakalpojumiem.</t>
  </si>
  <si>
    <t>Plāns apdrošināšanas izdevumiem pieaugs - jāapdrošina nodotās projekta iekārtas.</t>
  </si>
  <si>
    <t>Iekārtu nomai samazinājums - beigsies RTG iekārtas noma.</t>
  </si>
  <si>
    <t>2022.gadā plāns transporta izdevumiem - samazinājums remontiem</t>
  </si>
  <si>
    <t>2022.gadā plāns transporta izdevumiem - degvielas cenas pieaugums; izdevumiem pacientu pārvadāšanai.</t>
  </si>
  <si>
    <t>2022. gadā paredzēts plānā iegādāties medicīnas nodaļām gultas, skapīšus.</t>
  </si>
  <si>
    <t>2022. gadā nolietojuma pieaugums - tiks nodots ekspluatācijā projekta objekts - ēkas rekonstrukcija</t>
  </si>
  <si>
    <t>Neliels pieaugums plānā  neamortizētajiem pamatlīdzekļiem.</t>
  </si>
  <si>
    <t>2022. gadā paredzēts lielāks daudzums medicīnas precēm - Covid-19 ietekme</t>
  </si>
  <si>
    <t xml:space="preserve"> Palielinājums medicīnas instrumntiem - instrumenti tiek pasūtīti pēc vajadzības, nolūzušo, nodilušo instrumentu vietā vai arī, ja tiek formēti papildus komplekti vai arī mainās ķirurgu darba tehnika.</t>
  </si>
  <si>
    <t>2022.gadā medikamentiem plānots pieaugums maksas pakalpojumiem, maksas endoprotēzēm un maksas implantiem.</t>
  </si>
  <si>
    <t>Covid-19 ietekmē paredzēts lielāks plāns sterilizācijas un dezinfekcijas līdzekļiem.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</si>
</sst>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s>
  <fonts count="61"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color indexed="9"/>
      <name val="Times New Roman"/>
      <family val="1"/>
    </font>
    <font>
      <b/>
      <u/>
      <sz val="14"/>
      <name val="Times New Roman"/>
      <family val="1"/>
    </font>
    <font>
      <b/>
      <sz val="14"/>
      <name val="Times New Roman"/>
      <family val="1"/>
      <charset val="186"/>
    </font>
    <font>
      <sz val="14"/>
      <name val="Times New Roman"/>
      <family val="1"/>
      <charset val="186"/>
    </font>
    <font>
      <b/>
      <sz val="14"/>
      <color theme="1"/>
      <name val="Times New Roman"/>
      <family val="1"/>
    </font>
    <font>
      <vertAlign val="superscript"/>
      <sz val="14"/>
      <name val="Times New Roman"/>
      <family val="1"/>
    </font>
    <font>
      <b/>
      <vertAlign val="superscript"/>
      <sz val="14"/>
      <name val="Times New Roman"/>
      <family val="1"/>
    </font>
    <font>
      <i/>
      <vertAlign val="superscript"/>
      <sz val="14"/>
      <name val="Times New Roman"/>
      <family val="1"/>
    </font>
    <font>
      <b/>
      <sz val="14"/>
      <color rgb="FF414142"/>
      <name val="Times New Roman"/>
      <family val="1"/>
    </font>
    <font>
      <b/>
      <i/>
      <sz val="14"/>
      <color rgb="FFFF0000"/>
      <name val="Times New Roman"/>
      <family val="1"/>
      <charset val="186"/>
    </font>
    <font>
      <sz val="14"/>
      <color indexed="8"/>
      <name val="Times New Roman"/>
      <family val="1"/>
    </font>
    <font>
      <sz val="14"/>
      <color theme="1"/>
      <name val="Times New Roman"/>
      <family val="1"/>
      <charset val="186"/>
    </font>
    <font>
      <i/>
      <sz val="14"/>
      <color theme="1"/>
      <name val="Times New Roman"/>
      <family val="1"/>
      <charset val="186"/>
    </font>
    <font>
      <i/>
      <sz val="14"/>
      <name val="Times New Roman"/>
      <family val="1"/>
      <charset val="186"/>
    </font>
    <font>
      <i/>
      <sz val="14"/>
      <color rgb="FF26303B"/>
      <name val="Times New Roman"/>
      <family val="1"/>
      <charset val="186"/>
    </font>
  </fonts>
  <fills count="3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rgb="FF414142"/>
      </left>
      <right style="thin">
        <color rgb="FF414142"/>
      </right>
      <top/>
      <bottom style="thin">
        <color rgb="FF414142"/>
      </bottom>
      <diagonal/>
    </border>
  </borders>
  <cellStyleXfs count="1490">
    <xf numFmtId="0" fontId="0" fillId="0" borderId="0"/>
    <xf numFmtId="0" fontId="8" fillId="0" borderId="0"/>
    <xf numFmtId="0" fontId="8" fillId="0" borderId="0"/>
    <xf numFmtId="0" fontId="7" fillId="0" borderId="0"/>
    <xf numFmtId="0" fontId="6" fillId="0" borderId="0"/>
    <xf numFmtId="0" fontId="8" fillId="0" borderId="0"/>
    <xf numFmtId="0" fontId="8" fillId="0" borderId="0"/>
    <xf numFmtId="0" fontId="5" fillId="0" borderId="0"/>
    <xf numFmtId="0" fontId="4"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29" fillId="0" borderId="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1"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5" fillId="16" borderId="17"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0" fontId="16" fillId="30" borderId="18" applyNumberFormat="0" applyAlignment="0" applyProtection="0"/>
    <xf numFmtId="41" fontId="8" fillId="0" borderId="0" applyFont="0" applyFill="0" applyBorder="0" applyAlignment="0" applyProtection="0"/>
    <xf numFmtId="165" fontId="12"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1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20" fillId="0" borderId="21"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1" fillId="0" borderId="22"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21" fillId="0" borderId="23"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24"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0" borderId="17" applyNumberFormat="0" applyAlignment="0" applyProtection="0"/>
    <xf numFmtId="0" fontId="22" fillId="10"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2" fillId="16" borderId="17" applyNumberFormat="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3" fillId="0" borderId="25" applyNumberFormat="0" applyFill="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12"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1" fillId="0" borderId="0"/>
    <xf numFmtId="0" fontId="3"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10" fillId="0" borderId="0"/>
    <xf numFmtId="0" fontId="10" fillId="0" borderId="0"/>
    <xf numFmtId="0" fontId="34" fillId="0" borderId="0"/>
    <xf numFmtId="0" fontId="34" fillId="0" borderId="0"/>
    <xf numFmtId="0" fontId="34" fillId="0" borderId="0"/>
    <xf numFmtId="0" fontId="34"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12" fillId="0" borderId="0"/>
    <xf numFmtId="0" fontId="12" fillId="0" borderId="0"/>
    <xf numFmtId="0" fontId="8" fillId="0" borderId="0"/>
    <xf numFmtId="0" fontId="35"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8" fillId="0" borderId="0"/>
    <xf numFmtId="0" fontId="8" fillId="0" borderId="0"/>
    <xf numFmtId="0" fontId="3" fillId="0" borderId="0"/>
    <xf numFmtId="0" fontId="3"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xf numFmtId="0" fontId="3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8" fillId="0" borderId="0"/>
    <xf numFmtId="0" fontId="37" fillId="0" borderId="0" applyFont="0" applyFill="0" applyAlignment="0" applyProtection="0"/>
    <xf numFmtId="0" fontId="37" fillId="0" borderId="0" applyFont="0" applyFill="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35" fillId="14" borderId="26" applyNumberFormat="0" applyFont="0" applyAlignment="0" applyProtection="0"/>
    <xf numFmtId="0" fontId="3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8" fillId="14" borderId="26" applyNumberFormat="0" applyFon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0" fontId="25" fillId="16"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8"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7" fillId="0" borderId="2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9" fillId="0" borderId="0"/>
    <xf numFmtId="0" fontId="8"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55">
    <xf numFmtId="0" fontId="0" fillId="0" borderId="0" xfId="0"/>
    <xf numFmtId="3" fontId="42" fillId="0" borderId="1" xfId="0" applyNumberFormat="1" applyFont="1" applyFill="1" applyBorder="1" applyAlignment="1" applyProtection="1">
      <alignment horizontal="center" vertical="center" wrapText="1"/>
    </xf>
    <xf numFmtId="3" fontId="43" fillId="2" borderId="1" xfId="0" applyNumberFormat="1" applyFont="1" applyFill="1" applyBorder="1" applyAlignment="1" applyProtection="1">
      <alignment horizontal="left" vertical="center" wrapText="1"/>
    </xf>
    <xf numFmtId="3" fontId="42" fillId="3" borderId="1" xfId="0" applyNumberFormat="1" applyFont="1" applyFill="1" applyBorder="1" applyAlignment="1" applyProtection="1">
      <alignment horizontal="left" vertical="center" wrapText="1"/>
    </xf>
    <xf numFmtId="3" fontId="42" fillId="3" borderId="1" xfId="0" applyNumberFormat="1" applyFont="1" applyFill="1" applyBorder="1" applyAlignment="1" applyProtection="1">
      <alignment horizontal="right" vertical="center"/>
      <protection locked="0"/>
    </xf>
    <xf numFmtId="3" fontId="43" fillId="0" borderId="1" xfId="1" applyNumberFormat="1" applyFont="1" applyFill="1" applyBorder="1" applyAlignment="1" applyProtection="1">
      <alignment horizontal="left" vertical="center" wrapText="1"/>
    </xf>
    <xf numFmtId="0" fontId="42" fillId="3" borderId="1" xfId="0" applyNumberFormat="1" applyFont="1" applyFill="1" applyBorder="1" applyAlignment="1" applyProtection="1">
      <alignment horizontal="center" vertical="center"/>
    </xf>
    <xf numFmtId="0" fontId="42" fillId="2" borderId="1" xfId="1" applyNumberFormat="1" applyFont="1" applyFill="1" applyBorder="1" applyAlignment="1" applyProtection="1">
      <alignment horizontal="center" vertical="center"/>
    </xf>
    <xf numFmtId="0" fontId="43" fillId="2" borderId="1" xfId="1" applyNumberFormat="1" applyFont="1" applyFill="1" applyBorder="1" applyAlignment="1" applyProtection="1">
      <alignment horizontal="center" vertical="center"/>
    </xf>
    <xf numFmtId="0" fontId="42" fillId="3" borderId="1" xfId="1" applyNumberFormat="1" applyFont="1" applyFill="1" applyBorder="1" applyAlignment="1" applyProtection="1">
      <alignment horizontal="center" vertical="center"/>
    </xf>
    <xf numFmtId="0" fontId="41" fillId="0" borderId="0" xfId="0" applyFont="1" applyAlignment="1">
      <alignment vertical="center"/>
    </xf>
    <xf numFmtId="0" fontId="49" fillId="0" borderId="1" xfId="1467" applyFont="1" applyFill="1" applyBorder="1" applyAlignment="1" applyProtection="1">
      <alignment horizontal="center" vertical="center"/>
    </xf>
    <xf numFmtId="0" fontId="41" fillId="0" borderId="0" xfId="1467" applyFont="1" applyFill="1" applyAlignment="1">
      <alignment vertical="center"/>
    </xf>
    <xf numFmtId="0" fontId="41" fillId="0" borderId="0" xfId="1467" applyFont="1" applyFill="1" applyBorder="1" applyAlignment="1">
      <alignment vertical="center"/>
    </xf>
    <xf numFmtId="0" fontId="49" fillId="0" borderId="0" xfId="1467" applyFont="1" applyFill="1" applyBorder="1" applyAlignment="1" applyProtection="1">
      <alignment vertical="center"/>
      <protection locked="0"/>
    </xf>
    <xf numFmtId="0" fontId="49" fillId="0" borderId="0" xfId="1467" applyFont="1" applyFill="1" applyAlignment="1" applyProtection="1">
      <alignment vertical="center"/>
    </xf>
    <xf numFmtId="0" fontId="49" fillId="0" borderId="0" xfId="1467" applyFont="1" applyFill="1" applyAlignment="1" applyProtection="1">
      <alignment vertical="center"/>
      <protection locked="0"/>
    </xf>
    <xf numFmtId="0" fontId="49" fillId="0" borderId="1" xfId="1467" applyFont="1" applyFill="1" applyBorder="1" applyAlignment="1" applyProtection="1">
      <alignment vertical="center" wrapText="1"/>
    </xf>
    <xf numFmtId="0" fontId="48" fillId="6" borderId="1" xfId="1467" applyFont="1" applyFill="1" applyBorder="1" applyAlignment="1" applyProtection="1">
      <alignment horizontal="center" vertical="center"/>
    </xf>
    <xf numFmtId="0" fontId="48" fillId="6" borderId="1" xfId="1467" applyFont="1" applyFill="1" applyBorder="1" applyAlignment="1" applyProtection="1">
      <alignment vertical="center" wrapText="1"/>
    </xf>
    <xf numFmtId="3" fontId="49" fillId="0" borderId="1" xfId="1467" applyNumberFormat="1" applyFont="1" applyFill="1" applyBorder="1" applyAlignment="1" applyProtection="1">
      <alignment horizontal="center" vertical="center"/>
      <protection locked="0"/>
    </xf>
    <xf numFmtId="3" fontId="48" fillId="6" borderId="1" xfId="1467" applyNumberFormat="1" applyFont="1" applyFill="1" applyBorder="1" applyAlignment="1" applyProtection="1">
      <alignment horizontal="center" vertical="center"/>
    </xf>
    <xf numFmtId="3" fontId="43" fillId="2" borderId="1" xfId="6" applyNumberFormat="1" applyFont="1" applyFill="1" applyBorder="1" applyAlignment="1" applyProtection="1">
      <alignment horizontal="left" vertical="center" wrapText="1"/>
    </xf>
    <xf numFmtId="3" fontId="43" fillId="2" borderId="1" xfId="1" applyNumberFormat="1" applyFont="1" applyFill="1" applyBorder="1" applyAlignment="1" applyProtection="1">
      <alignment vertical="center"/>
    </xf>
    <xf numFmtId="3" fontId="42" fillId="3" borderId="1" xfId="6" applyNumberFormat="1" applyFont="1" applyFill="1" applyBorder="1" applyAlignment="1" applyProtection="1">
      <alignment vertical="center" wrapText="1"/>
    </xf>
    <xf numFmtId="3" fontId="42" fillId="3" borderId="1" xfId="1" applyNumberFormat="1" applyFont="1" applyFill="1" applyBorder="1" applyAlignment="1" applyProtection="1">
      <alignment vertical="center"/>
      <protection locked="0"/>
    </xf>
    <xf numFmtId="3" fontId="42" fillId="2" borderId="1" xfId="6" applyNumberFormat="1" applyFont="1" applyFill="1" applyBorder="1" applyAlignment="1" applyProtection="1">
      <alignment vertical="center" wrapText="1"/>
    </xf>
    <xf numFmtId="3" fontId="42" fillId="2" borderId="1" xfId="1" applyNumberFormat="1" applyFont="1" applyFill="1" applyBorder="1" applyAlignment="1" applyProtection="1">
      <alignment vertical="center"/>
    </xf>
    <xf numFmtId="3" fontId="43" fillId="2" borderId="1" xfId="1" applyNumberFormat="1" applyFont="1" applyFill="1" applyBorder="1" applyAlignment="1" applyProtection="1">
      <alignment vertical="center"/>
      <protection locked="0"/>
    </xf>
    <xf numFmtId="0" fontId="43" fillId="2" borderId="1" xfId="6" applyFont="1" applyFill="1" applyBorder="1" applyAlignment="1" applyProtection="1">
      <alignment horizontal="left" vertical="center" wrapText="1"/>
    </xf>
    <xf numFmtId="3" fontId="43" fillId="2" borderId="1" xfId="6" applyNumberFormat="1" applyFont="1" applyFill="1" applyBorder="1" applyAlignment="1" applyProtection="1">
      <alignment vertical="center"/>
    </xf>
    <xf numFmtId="3" fontId="42" fillId="2" borderId="1" xfId="6" applyNumberFormat="1" applyFont="1" applyFill="1" applyBorder="1" applyAlignment="1" applyProtection="1">
      <alignment horizontal="left" vertical="center" wrapText="1"/>
    </xf>
    <xf numFmtId="3" fontId="42" fillId="3" borderId="1" xfId="6" applyNumberFormat="1" applyFont="1" applyFill="1" applyBorder="1" applyAlignment="1" applyProtection="1">
      <alignment horizontal="center" vertical="center" wrapText="1"/>
    </xf>
    <xf numFmtId="0" fontId="42" fillId="0" borderId="1" xfId="1467" applyFont="1" applyFill="1" applyBorder="1" applyAlignment="1" applyProtection="1">
      <alignment horizontal="center" vertical="center"/>
    </xf>
    <xf numFmtId="3" fontId="45" fillId="2" borderId="1" xfId="0" applyNumberFormat="1" applyFont="1" applyFill="1" applyBorder="1" applyAlignment="1" applyProtection="1">
      <alignment horizontal="left" vertical="center" wrapText="1"/>
      <protection locked="0"/>
    </xf>
    <xf numFmtId="3" fontId="44" fillId="3" borderId="1" xfId="0" applyNumberFormat="1" applyFont="1" applyFill="1" applyBorder="1" applyAlignment="1" applyProtection="1">
      <alignment horizontal="left" vertical="center" wrapText="1"/>
      <protection locked="0"/>
    </xf>
    <xf numFmtId="3" fontId="45" fillId="3" borderId="1" xfId="0" applyNumberFormat="1" applyFont="1" applyFill="1" applyBorder="1" applyAlignment="1" applyProtection="1">
      <alignment horizontal="left" vertical="center" wrapText="1"/>
      <protection locked="0"/>
    </xf>
    <xf numFmtId="3" fontId="42" fillId="3" borderId="1" xfId="6" applyNumberFormat="1" applyFont="1" applyFill="1" applyBorder="1" applyAlignment="1" applyProtection="1">
      <alignment vertical="center"/>
      <protection locked="0"/>
    </xf>
    <xf numFmtId="3" fontId="43" fillId="0" borderId="1" xfId="6" applyNumberFormat="1" applyFont="1" applyFill="1" applyBorder="1" applyAlignment="1" applyProtection="1">
      <alignment vertical="center"/>
      <protection locked="0"/>
    </xf>
    <xf numFmtId="3" fontId="42" fillId="0" borderId="1" xfId="6" applyNumberFormat="1" applyFont="1" applyFill="1" applyBorder="1" applyAlignment="1" applyProtection="1">
      <alignment vertical="center"/>
      <protection locked="0"/>
    </xf>
    <xf numFmtId="3" fontId="43" fillId="2" borderId="1" xfId="6" applyNumberFormat="1" applyFont="1" applyFill="1" applyBorder="1" applyAlignment="1" applyProtection="1">
      <alignment vertical="center"/>
      <protection locked="0"/>
    </xf>
    <xf numFmtId="3" fontId="42" fillId="3" borderId="1" xfId="6" applyNumberFormat="1" applyFont="1" applyFill="1" applyBorder="1" applyAlignment="1" applyProtection="1">
      <alignment horizontal="right" vertical="center"/>
      <protection locked="0"/>
    </xf>
    <xf numFmtId="3" fontId="42" fillId="0" borderId="1" xfId="6" applyNumberFormat="1" applyFont="1" applyFill="1" applyBorder="1" applyAlignment="1" applyProtection="1">
      <alignment horizontal="right" vertical="center"/>
      <protection locked="0"/>
    </xf>
    <xf numFmtId="3" fontId="42" fillId="3" borderId="1" xfId="0" applyNumberFormat="1" applyFont="1" applyFill="1" applyBorder="1" applyAlignment="1" applyProtection="1">
      <alignment vertical="center"/>
      <protection locked="0"/>
    </xf>
    <xf numFmtId="3" fontId="42" fillId="3" borderId="3" xfId="0" applyNumberFormat="1" applyFont="1" applyFill="1" applyBorder="1" applyAlignment="1" applyProtection="1">
      <alignment vertical="center"/>
      <protection locked="0"/>
    </xf>
    <xf numFmtId="3" fontId="42" fillId="3" borderId="3" xfId="6" applyNumberFormat="1" applyFont="1" applyFill="1" applyBorder="1" applyAlignment="1" applyProtection="1">
      <alignment vertical="center"/>
      <protection locked="0"/>
    </xf>
    <xf numFmtId="3" fontId="44" fillId="3" borderId="1" xfId="6" applyNumberFormat="1" applyFont="1" applyFill="1" applyBorder="1" applyAlignment="1" applyProtection="1">
      <alignment horizontal="left" vertical="center"/>
      <protection locked="0"/>
    </xf>
    <xf numFmtId="3" fontId="44" fillId="3" borderId="1" xfId="0" applyNumberFormat="1" applyFont="1" applyFill="1" applyBorder="1" applyAlignment="1" applyProtection="1">
      <alignment horizontal="left" vertical="center"/>
      <protection locked="0"/>
    </xf>
    <xf numFmtId="3" fontId="42" fillId="0" borderId="1" xfId="0" applyNumberFormat="1" applyFont="1" applyFill="1" applyBorder="1" applyAlignment="1" applyProtection="1">
      <alignment horizontal="left" vertical="center" wrapText="1"/>
    </xf>
    <xf numFmtId="0" fontId="43" fillId="2" borderId="1" xfId="0" applyFont="1" applyFill="1" applyBorder="1" applyAlignment="1" applyProtection="1">
      <alignment horizontal="left" vertical="center" wrapText="1"/>
    </xf>
    <xf numFmtId="0" fontId="41" fillId="0" borderId="0" xfId="1467" applyFont="1" applyFill="1" applyAlignment="1" applyProtection="1">
      <alignment vertical="center"/>
    </xf>
    <xf numFmtId="0" fontId="49" fillId="0" borderId="0" xfId="1467" applyFont="1" applyFill="1" applyBorder="1" applyAlignment="1" applyProtection="1">
      <alignment horizontal="center" vertical="center"/>
    </xf>
    <xf numFmtId="0" fontId="49" fillId="0" borderId="0" xfId="1467" applyFont="1" applyFill="1" applyBorder="1" applyAlignment="1" applyProtection="1">
      <alignment vertical="center"/>
    </xf>
    <xf numFmtId="0" fontId="49" fillId="0" borderId="0" xfId="1467" applyFont="1" applyFill="1" applyAlignment="1" applyProtection="1">
      <alignment horizontal="center" vertical="center"/>
    </xf>
    <xf numFmtId="0" fontId="41" fillId="0" borderId="0" xfId="0" applyFont="1" applyAlignment="1" applyProtection="1">
      <alignment vertical="center"/>
    </xf>
    <xf numFmtId="0" fontId="42" fillId="0" borderId="0" xfId="0" applyFont="1" applyProtection="1"/>
    <xf numFmtId="0" fontId="42" fillId="0" borderId="0" xfId="0" applyFont="1" applyProtection="1">
      <protection locked="0"/>
    </xf>
    <xf numFmtId="3" fontId="42" fillId="0" borderId="1" xfId="1" applyNumberFormat="1" applyFont="1" applyFill="1" applyBorder="1" applyAlignment="1" applyProtection="1">
      <alignment vertical="center"/>
      <protection locked="0"/>
    </xf>
    <xf numFmtId="4" fontId="42" fillId="3" borderId="1" xfId="6" applyNumberFormat="1" applyFont="1" applyFill="1" applyBorder="1" applyAlignment="1" applyProtection="1">
      <alignment vertical="center"/>
      <protection locked="0"/>
    </xf>
    <xf numFmtId="0" fontId="42" fillId="0" borderId="1" xfId="6" applyNumberFormat="1" applyFont="1" applyFill="1" applyBorder="1" applyAlignment="1" applyProtection="1">
      <alignment horizontal="center" vertical="center"/>
    </xf>
    <xf numFmtId="0" fontId="42" fillId="0" borderId="0" xfId="0" applyFont="1" applyAlignment="1" applyProtection="1">
      <alignment vertical="center"/>
    </xf>
    <xf numFmtId="0" fontId="43" fillId="2" borderId="1" xfId="6" applyNumberFormat="1" applyFont="1" applyFill="1" applyBorder="1" applyAlignment="1" applyProtection="1">
      <alignment horizontal="center" vertical="center"/>
    </xf>
    <xf numFmtId="0" fontId="43" fillId="2" borderId="1" xfId="6" applyFont="1" applyFill="1" applyBorder="1" applyAlignment="1" applyProtection="1">
      <alignment vertical="center" wrapText="1"/>
    </xf>
    <xf numFmtId="3" fontId="43" fillId="2" borderId="1" xfId="6" applyNumberFormat="1" applyFont="1" applyFill="1" applyBorder="1" applyAlignment="1" applyProtection="1">
      <alignment horizontal="right" vertical="center" wrapText="1"/>
    </xf>
    <xf numFmtId="0" fontId="44" fillId="0" borderId="0" xfId="0" applyFont="1" applyAlignment="1" applyProtection="1">
      <alignment vertical="center"/>
    </xf>
    <xf numFmtId="0" fontId="45" fillId="0" borderId="0" xfId="0" applyFont="1" applyAlignment="1" applyProtection="1">
      <alignment vertical="center"/>
    </xf>
    <xf numFmtId="3" fontId="43" fillId="6" borderId="1" xfId="6" applyNumberFormat="1" applyFont="1" applyFill="1" applyBorder="1" applyAlignment="1" applyProtection="1">
      <alignment vertical="center" wrapText="1"/>
    </xf>
    <xf numFmtId="0" fontId="43" fillId="2" borderId="1" xfId="0" applyFont="1" applyFill="1" applyBorder="1" applyAlignment="1" applyProtection="1">
      <alignment horizontal="center" vertical="center"/>
    </xf>
    <xf numFmtId="0" fontId="42" fillId="0" borderId="0" xfId="0" applyFont="1" applyFill="1" applyAlignment="1" applyProtection="1">
      <alignment vertical="center"/>
    </xf>
    <xf numFmtId="0" fontId="42" fillId="0" borderId="1" xfId="0" applyFont="1" applyBorder="1" applyAlignment="1" applyProtection="1">
      <alignment horizontal="center" vertical="center"/>
    </xf>
    <xf numFmtId="0" fontId="42" fillId="3" borderId="1" xfId="6" applyFont="1" applyFill="1" applyBorder="1" applyAlignment="1" applyProtection="1">
      <alignment horizontal="left" vertical="center" wrapText="1"/>
    </xf>
    <xf numFmtId="3" fontId="42" fillId="0" borderId="1" xfId="0" applyNumberFormat="1" applyFont="1" applyBorder="1" applyAlignment="1" applyProtection="1">
      <alignment vertical="center"/>
    </xf>
    <xf numFmtId="0" fontId="43" fillId="0" borderId="1" xfId="0" applyFont="1" applyFill="1" applyBorder="1" applyAlignment="1" applyProtection="1">
      <alignment horizontal="center" vertical="center"/>
    </xf>
    <xf numFmtId="0" fontId="43" fillId="0" borderId="1" xfId="0" applyFont="1" applyFill="1" applyBorder="1" applyAlignment="1" applyProtection="1">
      <alignment vertical="center" wrapText="1"/>
    </xf>
    <xf numFmtId="0" fontId="43" fillId="0" borderId="1" xfId="6" applyNumberFormat="1" applyFont="1" applyFill="1" applyBorder="1" applyAlignment="1" applyProtection="1">
      <alignment horizontal="center" vertical="center"/>
    </xf>
    <xf numFmtId="0" fontId="42" fillId="0" borderId="1" xfId="6" applyNumberFormat="1" applyFont="1" applyFill="1" applyBorder="1" applyAlignment="1" applyProtection="1">
      <alignment horizontal="center" vertical="center" wrapText="1"/>
    </xf>
    <xf numFmtId="0" fontId="42" fillId="0" borderId="1" xfId="6" applyFont="1" applyFill="1" applyBorder="1" applyAlignment="1" applyProtection="1">
      <alignment vertical="center" wrapText="1"/>
    </xf>
    <xf numFmtId="3" fontId="42" fillId="0" borderId="1" xfId="6" applyNumberFormat="1" applyFont="1" applyFill="1" applyBorder="1" applyAlignment="1" applyProtection="1">
      <alignment vertical="center"/>
    </xf>
    <xf numFmtId="0" fontId="42" fillId="0" borderId="1" xfId="6" applyFont="1" applyFill="1" applyBorder="1" applyAlignment="1" applyProtection="1">
      <alignment horizontal="left" vertical="center" wrapText="1"/>
    </xf>
    <xf numFmtId="3" fontId="42" fillId="0" borderId="1" xfId="6" applyNumberFormat="1" applyFont="1" applyFill="1" applyBorder="1" applyAlignment="1" applyProtection="1">
      <alignment horizontal="left" vertical="center" wrapText="1"/>
    </xf>
    <xf numFmtId="3" fontId="42" fillId="0" borderId="1" xfId="6" applyNumberFormat="1" applyFont="1" applyFill="1" applyBorder="1" applyAlignment="1" applyProtection="1">
      <alignment vertical="center" wrapText="1"/>
    </xf>
    <xf numFmtId="0" fontId="43" fillId="6" borderId="1" xfId="6" applyNumberFormat="1" applyFont="1" applyFill="1" applyBorder="1" applyAlignment="1" applyProtection="1">
      <alignment horizontal="center" vertical="center" wrapText="1"/>
    </xf>
    <xf numFmtId="0" fontId="43" fillId="0" borderId="1" xfId="6" applyNumberFormat="1" applyFont="1" applyFill="1" applyBorder="1" applyAlignment="1" applyProtection="1">
      <alignment horizontal="center" vertical="center" wrapText="1"/>
    </xf>
    <xf numFmtId="3" fontId="43" fillId="0" borderId="1" xfId="6" applyNumberFormat="1" applyFont="1" applyFill="1" applyBorder="1" applyAlignment="1" applyProtection="1">
      <alignment vertical="center" wrapText="1"/>
    </xf>
    <xf numFmtId="0" fontId="50" fillId="0" borderId="1" xfId="6" applyNumberFormat="1" applyFont="1" applyFill="1" applyBorder="1" applyAlignment="1" applyProtection="1">
      <alignment horizontal="center" vertical="center" wrapText="1"/>
    </xf>
    <xf numFmtId="49" fontId="50" fillId="0" borderId="1" xfId="6" applyNumberFormat="1" applyFont="1" applyFill="1" applyBorder="1" applyAlignment="1" applyProtection="1">
      <alignment horizontal="left" vertical="center" wrapText="1"/>
    </xf>
    <xf numFmtId="0" fontId="43" fillId="3" borderId="5" xfId="6" applyNumberFormat="1" applyFont="1" applyFill="1" applyBorder="1" applyAlignment="1" applyProtection="1">
      <alignment horizontal="center" vertical="center"/>
    </xf>
    <xf numFmtId="0" fontId="42" fillId="3" borderId="1" xfId="6" applyNumberFormat="1" applyFont="1" applyFill="1" applyBorder="1" applyAlignment="1" applyProtection="1">
      <alignment horizontal="center" vertical="center"/>
    </xf>
    <xf numFmtId="0" fontId="42" fillId="0" borderId="0" xfId="0" applyFont="1" applyAlignment="1" applyProtection="1">
      <alignment horizontal="center" vertical="center"/>
    </xf>
    <xf numFmtId="0" fontId="42" fillId="0" borderId="0" xfId="0" applyFont="1" applyAlignment="1" applyProtection="1">
      <alignment horizontal="right" vertical="center"/>
    </xf>
    <xf numFmtId="3" fontId="43" fillId="0" borderId="1" xfId="0" applyNumberFormat="1" applyFont="1" applyFill="1" applyBorder="1" applyAlignment="1" applyProtection="1">
      <alignment vertical="center"/>
      <protection locked="0"/>
    </xf>
    <xf numFmtId="3" fontId="42" fillId="0" borderId="1" xfId="0" applyNumberFormat="1" applyFont="1" applyBorder="1" applyAlignment="1" applyProtection="1">
      <alignment vertical="center"/>
      <protection locked="0"/>
    </xf>
    <xf numFmtId="0" fontId="42" fillId="3" borderId="1" xfId="6" applyFont="1" applyFill="1" applyBorder="1" applyAlignment="1" applyProtection="1">
      <alignment horizontal="left" vertical="center" wrapText="1"/>
      <protection locked="0"/>
    </xf>
    <xf numFmtId="0" fontId="42" fillId="0" borderId="1" xfId="0" applyFont="1" applyBorder="1" applyAlignment="1" applyProtection="1">
      <alignment horizontal="center" vertical="center"/>
      <protection locked="0"/>
    </xf>
    <xf numFmtId="0" fontId="42" fillId="0" borderId="1" xfId="6" applyNumberFormat="1" applyFont="1" applyFill="1" applyBorder="1" applyAlignment="1" applyProtection="1">
      <alignment horizontal="center" vertical="center" wrapText="1"/>
      <protection locked="0"/>
    </xf>
    <xf numFmtId="0" fontId="42" fillId="0" borderId="1" xfId="6" applyFont="1" applyFill="1" applyBorder="1" applyAlignment="1" applyProtection="1">
      <alignment vertical="center" wrapText="1"/>
      <protection locked="0"/>
    </xf>
    <xf numFmtId="0" fontId="42" fillId="0" borderId="1" xfId="6" applyFont="1" applyFill="1" applyBorder="1" applyAlignment="1" applyProtection="1">
      <alignment horizontal="left" vertical="center" wrapText="1"/>
      <protection locked="0"/>
    </xf>
    <xf numFmtId="0" fontId="42" fillId="0" borderId="1" xfId="6" applyNumberFormat="1" applyFont="1" applyFill="1" applyBorder="1" applyAlignment="1" applyProtection="1">
      <alignment horizontal="center" vertical="center"/>
      <protection locked="0"/>
    </xf>
    <xf numFmtId="3" fontId="42" fillId="0" borderId="1" xfId="6" applyNumberFormat="1" applyFont="1" applyFill="1" applyBorder="1" applyAlignment="1" applyProtection="1">
      <alignment horizontal="left" vertical="center" wrapText="1"/>
      <protection locked="0"/>
    </xf>
    <xf numFmtId="3" fontId="42" fillId="0" borderId="1" xfId="6" applyNumberFormat="1" applyFont="1" applyFill="1" applyBorder="1" applyAlignment="1" applyProtection="1">
      <alignment vertical="center" wrapText="1"/>
      <protection locked="0"/>
    </xf>
    <xf numFmtId="3" fontId="42" fillId="3" borderId="6" xfId="6" applyNumberFormat="1" applyFont="1" applyFill="1" applyBorder="1" applyAlignment="1" applyProtection="1">
      <alignment horizontal="right" vertical="center" wrapText="1"/>
      <protection locked="0"/>
    </xf>
    <xf numFmtId="3" fontId="42" fillId="3" borderId="1" xfId="6" applyNumberFormat="1" applyFont="1" applyFill="1" applyBorder="1" applyAlignment="1" applyProtection="1">
      <alignment horizontal="right" vertical="center" wrapText="1"/>
      <protection locked="0"/>
    </xf>
    <xf numFmtId="3" fontId="45" fillId="2" borderId="1" xfId="6" applyNumberFormat="1" applyFont="1" applyFill="1" applyBorder="1" applyAlignment="1" applyProtection="1">
      <alignment horizontal="left" vertical="center" wrapText="1"/>
      <protection locked="0"/>
    </xf>
    <xf numFmtId="3" fontId="45" fillId="2" borderId="1" xfId="6" applyNumberFormat="1" applyFont="1" applyFill="1" applyBorder="1" applyAlignment="1" applyProtection="1">
      <alignment horizontal="center" vertical="center" wrapText="1"/>
      <protection locked="0"/>
    </xf>
    <xf numFmtId="0" fontId="42" fillId="3" borderId="3" xfId="6" applyFont="1" applyFill="1" applyBorder="1" applyAlignment="1" applyProtection="1">
      <alignment horizontal="right" vertical="center" wrapText="1"/>
      <protection locked="0"/>
    </xf>
    <xf numFmtId="0" fontId="42" fillId="7" borderId="1" xfId="0" applyFont="1" applyFill="1" applyBorder="1" applyAlignment="1" applyProtection="1">
      <alignment horizontal="center" vertical="center" wrapText="1"/>
      <protection locked="0"/>
    </xf>
    <xf numFmtId="0" fontId="42" fillId="7" borderId="1" xfId="0" applyFont="1" applyFill="1" applyBorder="1" applyAlignment="1" applyProtection="1">
      <alignment horizontal="left" vertical="center" wrapText="1"/>
      <protection locked="0"/>
    </xf>
    <xf numFmtId="0" fontId="42" fillId="7" borderId="10" xfId="0" applyFont="1" applyFill="1" applyBorder="1" applyAlignment="1" applyProtection="1">
      <alignment horizontal="center" vertical="center" wrapText="1"/>
      <protection locked="0"/>
    </xf>
    <xf numFmtId="0" fontId="42" fillId="7" borderId="10" xfId="0" applyFont="1" applyFill="1" applyBorder="1" applyAlignment="1" applyProtection="1">
      <alignment horizontal="left" vertical="center" wrapText="1" indent="1"/>
      <protection locked="0"/>
    </xf>
    <xf numFmtId="0" fontId="42" fillId="7" borderId="10" xfId="0" applyFont="1" applyFill="1" applyBorder="1" applyAlignment="1" applyProtection="1">
      <alignment horizontal="left" vertical="center" wrapText="1"/>
      <protection locked="0"/>
    </xf>
    <xf numFmtId="0" fontId="42" fillId="0" borderId="1" xfId="6" applyFont="1" applyFill="1" applyBorder="1" applyAlignment="1" applyProtection="1">
      <alignment horizontal="center" vertical="center"/>
      <protection locked="0"/>
    </xf>
    <xf numFmtId="0" fontId="42" fillId="7" borderId="11" xfId="0" applyFont="1" applyFill="1" applyBorder="1" applyAlignment="1" applyProtection="1">
      <alignment horizontal="center" vertical="center" wrapText="1"/>
      <protection locked="0"/>
    </xf>
    <xf numFmtId="0" fontId="42" fillId="7" borderId="11" xfId="0" applyFont="1" applyFill="1" applyBorder="1" applyAlignment="1" applyProtection="1">
      <alignment horizontal="left" vertical="center" wrapText="1"/>
      <protection locked="0"/>
    </xf>
    <xf numFmtId="0" fontId="42" fillId="0" borderId="0" xfId="0" applyFont="1" applyAlignment="1" applyProtection="1">
      <alignment vertical="center"/>
      <protection locked="0"/>
    </xf>
    <xf numFmtId="0" fontId="42" fillId="0" borderId="1" xfId="0" applyFont="1" applyBorder="1" applyAlignment="1">
      <alignment horizontal="center" vertical="center"/>
    </xf>
    <xf numFmtId="3" fontId="42" fillId="0" borderId="1" xfId="0" applyNumberFormat="1" applyFont="1" applyBorder="1" applyAlignment="1">
      <alignment horizontal="center" vertical="center" wrapText="1"/>
    </xf>
    <xf numFmtId="3" fontId="44" fillId="5" borderId="1" xfId="0" applyNumberFormat="1" applyFont="1" applyFill="1" applyBorder="1" applyAlignment="1">
      <alignment horizontal="center" vertical="center" wrapText="1"/>
    </xf>
    <xf numFmtId="166" fontId="44" fillId="5" borderId="1" xfId="12" applyNumberFormat="1" applyFont="1" applyFill="1" applyBorder="1" applyAlignment="1">
      <alignment horizontal="center" vertical="center" wrapText="1"/>
    </xf>
    <xf numFmtId="3" fontId="44" fillId="0" borderId="1" xfId="0" applyNumberFormat="1" applyFont="1" applyBorder="1" applyAlignment="1">
      <alignment horizontal="center" vertical="center" wrapText="1"/>
    </xf>
    <xf numFmtId="3" fontId="42" fillId="0" borderId="0" xfId="0" applyNumberFormat="1" applyFont="1" applyAlignment="1">
      <alignment vertical="center"/>
    </xf>
    <xf numFmtId="0" fontId="43" fillId="2" borderId="1" xfId="0" applyFont="1" applyFill="1" applyBorder="1" applyAlignment="1">
      <alignment horizontal="center" vertical="center"/>
    </xf>
    <xf numFmtId="3" fontId="43" fillId="2" borderId="1" xfId="0" applyNumberFormat="1" applyFont="1" applyFill="1" applyBorder="1" applyAlignment="1">
      <alignment horizontal="center" vertical="center" wrapText="1"/>
    </xf>
    <xf numFmtId="3" fontId="45" fillId="2" borderId="1" xfId="0" applyNumberFormat="1" applyFont="1" applyFill="1" applyBorder="1" applyAlignment="1">
      <alignment horizontal="center" vertical="center" wrapText="1"/>
    </xf>
    <xf numFmtId="166" fontId="45" fillId="2" borderId="1" xfId="12" applyNumberFormat="1" applyFont="1" applyFill="1" applyBorder="1" applyAlignment="1">
      <alignment horizontal="center" vertical="center" wrapText="1"/>
    </xf>
    <xf numFmtId="3" fontId="45" fillId="2" borderId="1" xfId="0" applyNumberFormat="1" applyFont="1" applyFill="1" applyBorder="1" applyAlignment="1">
      <alignment horizontal="left" vertical="center" wrapText="1"/>
    </xf>
    <xf numFmtId="49" fontId="43" fillId="2" borderId="1" xfId="0" applyNumberFormat="1" applyFont="1" applyFill="1" applyBorder="1" applyAlignment="1">
      <alignment horizontal="center" vertical="center"/>
    </xf>
    <xf numFmtId="3" fontId="43" fillId="2" borderId="1" xfId="0" applyNumberFormat="1" applyFont="1" applyFill="1" applyBorder="1" applyAlignment="1">
      <alignment horizontal="left" vertical="center" wrapText="1"/>
    </xf>
    <xf numFmtId="3" fontId="43" fillId="0" borderId="0" xfId="0" applyNumberFormat="1" applyFont="1" applyAlignment="1">
      <alignment vertical="center"/>
    </xf>
    <xf numFmtId="49" fontId="42" fillId="3" borderId="1" xfId="0" applyNumberFormat="1" applyFont="1" applyFill="1" applyBorder="1" applyAlignment="1">
      <alignment horizontal="center" vertical="center"/>
    </xf>
    <xf numFmtId="3" fontId="42" fillId="3" borderId="1" xfId="0" applyNumberFormat="1" applyFont="1" applyFill="1" applyBorder="1" applyAlignment="1">
      <alignment horizontal="left" vertical="center" wrapText="1"/>
    </xf>
    <xf numFmtId="3" fontId="44" fillId="3" borderId="1" xfId="0" applyNumberFormat="1" applyFont="1" applyFill="1" applyBorder="1" applyAlignment="1">
      <alignment horizontal="center" vertical="center" wrapText="1"/>
    </xf>
    <xf numFmtId="166" fontId="44" fillId="3" borderId="1" xfId="12" applyNumberFormat="1" applyFont="1" applyFill="1" applyBorder="1" applyAlignment="1">
      <alignment horizontal="center" vertical="center" wrapText="1"/>
    </xf>
    <xf numFmtId="3" fontId="42" fillId="0" borderId="1" xfId="0" applyNumberFormat="1" applyFont="1" applyBorder="1" applyAlignment="1">
      <alignment horizontal="left" vertical="center" wrapText="1"/>
    </xf>
    <xf numFmtId="49" fontId="43" fillId="3" borderId="1" xfId="0" applyNumberFormat="1" applyFont="1" applyFill="1" applyBorder="1" applyAlignment="1">
      <alignment horizontal="center" vertical="center"/>
    </xf>
    <xf numFmtId="3" fontId="43" fillId="3" borderId="1" xfId="0" applyNumberFormat="1" applyFont="1" applyFill="1" applyBorder="1" applyAlignment="1">
      <alignment horizontal="left" vertical="center" wrapText="1"/>
    </xf>
    <xf numFmtId="3" fontId="45" fillId="3" borderId="1" xfId="0" applyNumberFormat="1" applyFont="1" applyFill="1" applyBorder="1" applyAlignment="1">
      <alignment horizontal="center" vertical="center" wrapText="1"/>
    </xf>
    <xf numFmtId="166" fontId="45" fillId="3" borderId="1" xfId="12" applyNumberFormat="1" applyFont="1" applyFill="1" applyBorder="1" applyAlignment="1">
      <alignment horizontal="center" vertical="center" wrapText="1"/>
    </xf>
    <xf numFmtId="3" fontId="43" fillId="3" borderId="1" xfId="1" applyNumberFormat="1" applyFont="1" applyFill="1" applyBorder="1" applyAlignment="1">
      <alignment horizontal="left" vertical="center" wrapText="1"/>
    </xf>
    <xf numFmtId="3" fontId="46" fillId="0" borderId="0" xfId="0" applyNumberFormat="1" applyFont="1" applyAlignment="1">
      <alignment vertical="center"/>
    </xf>
    <xf numFmtId="49" fontId="43" fillId="0" borderId="1" xfId="0" applyNumberFormat="1" applyFont="1" applyBorder="1" applyAlignment="1">
      <alignment horizontal="center" vertical="center"/>
    </xf>
    <xf numFmtId="3" fontId="43" fillId="0" borderId="1" xfId="1" applyNumberFormat="1" applyFont="1" applyBorder="1" applyAlignment="1">
      <alignment horizontal="left" vertical="center" wrapText="1"/>
    </xf>
    <xf numFmtId="3" fontId="45" fillId="0" borderId="1" xfId="0" applyNumberFormat="1" applyFont="1" applyBorder="1" applyAlignment="1">
      <alignment horizontal="center" vertical="center" wrapText="1"/>
    </xf>
    <xf numFmtId="166" fontId="45" fillId="0" borderId="1" xfId="12" applyNumberFormat="1" applyFont="1" applyBorder="1" applyAlignment="1">
      <alignment horizontal="center" vertical="center" wrapText="1"/>
    </xf>
    <xf numFmtId="0" fontId="43" fillId="2" borderId="1" xfId="0" applyFont="1" applyFill="1" applyBorder="1" applyAlignment="1">
      <alignment vertical="center" wrapText="1"/>
    </xf>
    <xf numFmtId="0" fontId="43" fillId="3" borderId="1" xfId="0" applyFont="1" applyFill="1" applyBorder="1" applyAlignment="1">
      <alignment horizontal="center" vertical="center"/>
    </xf>
    <xf numFmtId="0" fontId="43" fillId="3" borderId="1" xfId="0" applyFont="1" applyFill="1" applyBorder="1" applyAlignment="1">
      <alignment vertical="center" wrapText="1"/>
    </xf>
    <xf numFmtId="0" fontId="42" fillId="3" borderId="1" xfId="0" applyFont="1" applyFill="1" applyBorder="1" applyAlignment="1">
      <alignment horizontal="center" vertical="center"/>
    </xf>
    <xf numFmtId="0" fontId="42" fillId="3" borderId="1" xfId="0" applyFont="1" applyFill="1" applyBorder="1" applyAlignment="1">
      <alignment vertical="center" wrapText="1"/>
    </xf>
    <xf numFmtId="0" fontId="43" fillId="2" borderId="1" xfId="0" applyFont="1" applyFill="1" applyBorder="1" applyAlignment="1">
      <alignment horizontal="left" vertical="center" wrapText="1"/>
    </xf>
    <xf numFmtId="0" fontId="42" fillId="3" borderId="1" xfId="0" applyFont="1" applyFill="1" applyBorder="1" applyAlignment="1">
      <alignment horizontal="left" vertical="center" wrapText="1"/>
    </xf>
    <xf numFmtId="166" fontId="44" fillId="0" borderId="1" xfId="12" applyNumberFormat="1" applyFont="1" applyBorder="1" applyAlignment="1">
      <alignment horizontal="center" vertical="center" wrapText="1"/>
    </xf>
    <xf numFmtId="0" fontId="43" fillId="3" borderId="1" xfId="0" applyFont="1" applyFill="1" applyBorder="1" applyAlignment="1">
      <alignment horizontal="left" vertical="center" wrapText="1"/>
    </xf>
    <xf numFmtId="0" fontId="43" fillId="3" borderId="1" xfId="0" applyFont="1" applyFill="1" applyBorder="1" applyAlignment="1">
      <alignment horizontal="left" vertical="center"/>
    </xf>
    <xf numFmtId="0" fontId="42" fillId="2" borderId="1" xfId="0" applyFont="1" applyFill="1" applyBorder="1" applyAlignment="1">
      <alignment horizontal="center" vertical="center"/>
    </xf>
    <xf numFmtId="0" fontId="42" fillId="2" borderId="1" xfId="0" applyFont="1" applyFill="1" applyBorder="1" applyAlignment="1">
      <alignment horizontal="left" vertical="center" wrapText="1"/>
    </xf>
    <xf numFmtId="3" fontId="44" fillId="2" borderId="1" xfId="0" applyNumberFormat="1" applyFont="1" applyFill="1" applyBorder="1" applyAlignment="1">
      <alignment horizontal="center" vertical="center" wrapText="1"/>
    </xf>
    <xf numFmtId="166" fontId="44" fillId="2" borderId="1" xfId="12" applyNumberFormat="1" applyFont="1" applyFill="1" applyBorder="1" applyAlignment="1">
      <alignment horizontal="center" vertical="center" wrapText="1"/>
    </xf>
    <xf numFmtId="0" fontId="42" fillId="3" borderId="1" xfId="0" applyFont="1" applyFill="1" applyBorder="1" applyAlignment="1">
      <alignment horizontal="left" vertical="center"/>
    </xf>
    <xf numFmtId="0" fontId="45" fillId="2" borderId="1" xfId="0" applyFont="1" applyFill="1" applyBorder="1" applyAlignment="1">
      <alignment horizontal="center" vertical="center"/>
    </xf>
    <xf numFmtId="3" fontId="45" fillId="0" borderId="0" xfId="0" applyNumberFormat="1" applyFont="1" applyAlignment="1">
      <alignment vertical="center"/>
    </xf>
    <xf numFmtId="0" fontId="43" fillId="2" borderId="1" xfId="0" applyFont="1" applyFill="1" applyBorder="1" applyAlignment="1">
      <alignment horizontal="left" vertical="center"/>
    </xf>
    <xf numFmtId="0" fontId="42" fillId="0" borderId="1" xfId="0" applyFont="1" applyBorder="1" applyAlignment="1" applyProtection="1">
      <alignment horizontal="right" vertical="center" wrapText="1"/>
      <protection locked="0"/>
    </xf>
    <xf numFmtId="0" fontId="42" fillId="0" borderId="1" xfId="0" applyFont="1" applyBorder="1" applyAlignment="1">
      <alignment horizontal="left" vertical="center" wrapText="1"/>
    </xf>
    <xf numFmtId="0" fontId="45" fillId="2" borderId="1" xfId="0" applyFont="1" applyFill="1" applyBorder="1" applyAlignment="1">
      <alignment horizontal="center" vertical="center" wrapText="1"/>
    </xf>
    <xf numFmtId="0" fontId="45" fillId="2" borderId="1" xfId="0" applyFont="1" applyFill="1" applyBorder="1" applyAlignment="1">
      <alignment horizontal="left" vertical="center" wrapText="1"/>
    </xf>
    <xf numFmtId="0" fontId="43" fillId="0" borderId="1" xfId="0" applyFont="1" applyBorder="1" applyAlignment="1">
      <alignment horizontal="left" vertical="center" wrapText="1"/>
    </xf>
    <xf numFmtId="0" fontId="43" fillId="2"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3" fontId="42" fillId="0" borderId="0" xfId="4" applyNumberFormat="1" applyFont="1" applyAlignment="1">
      <alignment vertical="center"/>
    </xf>
    <xf numFmtId="0" fontId="42" fillId="3" borderId="1" xfId="0" applyFont="1" applyFill="1" applyBorder="1" applyAlignment="1">
      <alignment vertical="center"/>
    </xf>
    <xf numFmtId="0" fontId="42" fillId="2" borderId="1" xfId="1" applyFont="1" applyFill="1" applyBorder="1" applyAlignment="1">
      <alignment horizontal="center" vertical="center"/>
    </xf>
    <xf numFmtId="3" fontId="47" fillId="2" borderId="1" xfId="0" applyNumberFormat="1" applyFont="1" applyFill="1" applyBorder="1" applyAlignment="1">
      <alignment horizontal="left" vertical="center" wrapText="1"/>
    </xf>
    <xf numFmtId="0" fontId="43" fillId="0" borderId="1" xfId="1" applyFont="1" applyBorder="1" applyAlignment="1">
      <alignment horizontal="center" vertical="center"/>
    </xf>
    <xf numFmtId="0" fontId="43" fillId="2" borderId="1" xfId="1" applyFont="1" applyFill="1" applyBorder="1" applyAlignment="1">
      <alignment horizontal="center" vertical="center"/>
    </xf>
    <xf numFmtId="0" fontId="42" fillId="3" borderId="1" xfId="1" applyFont="1" applyFill="1" applyBorder="1" applyAlignment="1">
      <alignment horizontal="center" vertical="center"/>
    </xf>
    <xf numFmtId="49" fontId="43" fillId="2" borderId="1" xfId="1" applyNumberFormat="1" applyFont="1" applyFill="1" applyBorder="1" applyAlignment="1">
      <alignment horizontal="center" vertical="center"/>
    </xf>
    <xf numFmtId="49" fontId="42" fillId="3" borderId="1" xfId="1" applyNumberFormat="1" applyFont="1" applyFill="1" applyBorder="1" applyAlignment="1">
      <alignment horizontal="center" vertical="center"/>
    </xf>
    <xf numFmtId="3" fontId="42" fillId="0" borderId="1" xfId="0" applyNumberFormat="1" applyFont="1" applyBorder="1" applyAlignment="1">
      <alignment vertical="center"/>
    </xf>
    <xf numFmtId="3" fontId="42" fillId="0" borderId="1" xfId="0" applyNumberFormat="1" applyFont="1" applyBorder="1" applyAlignment="1">
      <alignment vertical="center" wrapText="1"/>
    </xf>
    <xf numFmtId="0" fontId="43" fillId="0" borderId="1" xfId="0" applyFont="1" applyBorder="1" applyAlignment="1">
      <alignment horizontal="center" vertical="center"/>
    </xf>
    <xf numFmtId="3" fontId="43" fillId="0" borderId="1" xfId="0" applyNumberFormat="1" applyFont="1" applyBorder="1" applyAlignment="1">
      <alignment horizontal="left" vertical="center" wrapText="1"/>
    </xf>
    <xf numFmtId="3" fontId="42" fillId="0" borderId="0" xfId="0" applyNumberFormat="1" applyFont="1" applyAlignment="1">
      <alignment horizontal="center" vertical="center"/>
    </xf>
    <xf numFmtId="0" fontId="42" fillId="0" borderId="1" xfId="6" applyFont="1" applyBorder="1" applyAlignment="1">
      <alignment horizontal="center" vertical="center"/>
    </xf>
    <xf numFmtId="3" fontId="42" fillId="0" borderId="1" xfId="1" applyNumberFormat="1" applyFont="1" applyBorder="1" applyAlignment="1">
      <alignment horizontal="center" vertical="center" wrapText="1"/>
    </xf>
    <xf numFmtId="0" fontId="42" fillId="0" borderId="0" xfId="0" applyFont="1" applyAlignment="1">
      <alignment vertical="center"/>
    </xf>
    <xf numFmtId="3" fontId="42" fillId="3" borderId="1" xfId="6" applyNumberFormat="1" applyFont="1" applyFill="1" applyBorder="1" applyAlignment="1">
      <alignment horizontal="center" vertical="center" wrapText="1"/>
    </xf>
    <xf numFmtId="3" fontId="44" fillId="3" borderId="1" xfId="6" applyNumberFormat="1" applyFont="1" applyFill="1" applyBorder="1" applyAlignment="1">
      <alignment horizontal="center" vertical="center"/>
    </xf>
    <xf numFmtId="49" fontId="43" fillId="2" borderId="5" xfId="6" applyNumberFormat="1" applyFont="1" applyFill="1" applyBorder="1" applyAlignment="1">
      <alignment horizontal="center" vertical="center"/>
    </xf>
    <xf numFmtId="0" fontId="43" fillId="2" borderId="7" xfId="6" applyFont="1" applyFill="1" applyBorder="1" applyAlignment="1">
      <alignment vertical="center" wrapText="1"/>
    </xf>
    <xf numFmtId="0" fontId="43" fillId="2" borderId="8" xfId="6" applyFont="1" applyFill="1" applyBorder="1" applyAlignment="1">
      <alignment horizontal="center" vertical="center" wrapText="1"/>
    </xf>
    <xf numFmtId="3" fontId="43" fillId="2" borderId="3" xfId="6" applyNumberFormat="1" applyFont="1" applyFill="1" applyBorder="1" applyAlignment="1">
      <alignment horizontal="center" vertical="center"/>
    </xf>
    <xf numFmtId="3" fontId="43" fillId="2" borderId="1" xfId="6" applyNumberFormat="1" applyFont="1" applyFill="1" applyBorder="1" applyAlignment="1">
      <alignment horizontal="center" vertical="center"/>
    </xf>
    <xf numFmtId="3" fontId="45" fillId="2" borderId="3" xfId="6" applyNumberFormat="1" applyFont="1" applyFill="1" applyBorder="1" applyAlignment="1">
      <alignment horizontal="center" vertical="center"/>
    </xf>
    <xf numFmtId="3" fontId="45" fillId="2" borderId="1" xfId="6" applyNumberFormat="1" applyFont="1" applyFill="1" applyBorder="1" applyAlignment="1">
      <alignment horizontal="center" vertical="center"/>
    </xf>
    <xf numFmtId="49" fontId="43" fillId="4" borderId="5" xfId="6" applyNumberFormat="1" applyFont="1" applyFill="1" applyBorder="1" applyAlignment="1">
      <alignment horizontal="center" vertical="center"/>
    </xf>
    <xf numFmtId="0" fontId="43" fillId="4" borderId="4" xfId="6" applyFont="1" applyFill="1" applyBorder="1" applyAlignment="1">
      <alignment vertical="center" wrapText="1"/>
    </xf>
    <xf numFmtId="0" fontId="43" fillId="4" borderId="4" xfId="6" applyFont="1" applyFill="1" applyBorder="1" applyAlignment="1">
      <alignment horizontal="center" vertical="center" wrapText="1"/>
    </xf>
    <xf numFmtId="3" fontId="43" fillId="4" borderId="1" xfId="6" applyNumberFormat="1" applyFont="1" applyFill="1" applyBorder="1" applyAlignment="1">
      <alignment horizontal="center" vertical="center"/>
    </xf>
    <xf numFmtId="3" fontId="45" fillId="4" borderId="1" xfId="6" applyNumberFormat="1" applyFont="1" applyFill="1" applyBorder="1" applyAlignment="1">
      <alignment horizontal="center" vertical="center"/>
    </xf>
    <xf numFmtId="49" fontId="42" fillId="0" borderId="5" xfId="6" applyNumberFormat="1" applyFont="1" applyBorder="1" applyAlignment="1">
      <alignment horizontal="center" vertical="center"/>
    </xf>
    <xf numFmtId="0" fontId="42" fillId="0" borderId="4" xfId="6" applyFont="1" applyBorder="1" applyAlignment="1">
      <alignment vertical="center" wrapText="1"/>
    </xf>
    <xf numFmtId="0" fontId="42" fillId="0" borderId="4" xfId="6" applyFont="1" applyBorder="1" applyAlignment="1">
      <alignment horizontal="center" vertical="center" wrapText="1"/>
    </xf>
    <xf numFmtId="0" fontId="42" fillId="3" borderId="1" xfId="6" applyFont="1" applyFill="1" applyBorder="1" applyAlignment="1">
      <alignment horizontal="center" vertical="center"/>
    </xf>
    <xf numFmtId="0" fontId="44" fillId="3" borderId="1" xfId="6" applyFont="1" applyFill="1" applyBorder="1" applyAlignment="1">
      <alignment horizontal="center" vertical="center"/>
    </xf>
    <xf numFmtId="166" fontId="44" fillId="3" borderId="1" xfId="12" applyNumberFormat="1" applyFont="1" applyFill="1" applyBorder="1" applyAlignment="1">
      <alignment horizontal="center" vertical="center"/>
    </xf>
    <xf numFmtId="0" fontId="44" fillId="3" borderId="1" xfId="6" applyFont="1" applyFill="1" applyBorder="1" applyAlignment="1" applyProtection="1">
      <alignment horizontal="left" vertical="center"/>
      <protection locked="0"/>
    </xf>
    <xf numFmtId="0" fontId="42" fillId="0" borderId="1" xfId="0" applyFont="1" applyBorder="1" applyAlignment="1">
      <alignment horizontal="left" vertical="center" wrapText="1" indent="2" readingOrder="1"/>
    </xf>
    <xf numFmtId="0" fontId="42" fillId="0" borderId="1" xfId="0" applyFont="1" applyBorder="1" applyAlignment="1" applyProtection="1">
      <alignment horizontal="center" vertical="center" wrapText="1"/>
      <protection locked="0"/>
    </xf>
    <xf numFmtId="0" fontId="42" fillId="3" borderId="1" xfId="6" applyFont="1" applyFill="1" applyBorder="1" applyAlignment="1" applyProtection="1">
      <alignment horizontal="center" vertical="center"/>
      <protection locked="0"/>
    </xf>
    <xf numFmtId="49" fontId="42" fillId="0" borderId="5" xfId="6" applyNumberFormat="1" applyFont="1" applyBorder="1" applyAlignment="1">
      <alignment horizontal="right" vertical="center"/>
    </xf>
    <xf numFmtId="0" fontId="44" fillId="0" borderId="1" xfId="0" applyFont="1" applyBorder="1" applyAlignment="1">
      <alignment horizontal="left" vertical="center" wrapText="1" indent="4" readingOrder="1"/>
    </xf>
    <xf numFmtId="0" fontId="42" fillId="0" borderId="6" xfId="0" applyFont="1" applyBorder="1" applyAlignment="1">
      <alignment horizontal="left" vertical="center" wrapText="1" readingOrder="1"/>
    </xf>
    <xf numFmtId="0" fontId="44" fillId="0" borderId="2" xfId="0" applyFont="1" applyBorder="1" applyAlignment="1">
      <alignment horizontal="center" vertical="center" wrapText="1"/>
    </xf>
    <xf numFmtId="166" fontId="44" fillId="0" borderId="2" xfId="12" applyNumberFormat="1" applyFont="1" applyBorder="1" applyAlignment="1">
      <alignment horizontal="center" vertical="center" wrapText="1"/>
    </xf>
    <xf numFmtId="0" fontId="44" fillId="0" borderId="2" xfId="0" applyFont="1" applyBorder="1" applyAlignment="1" applyProtection="1">
      <alignment horizontal="left" vertical="center" wrapText="1"/>
      <protection locked="0"/>
    </xf>
    <xf numFmtId="9" fontId="42" fillId="0" borderId="2" xfId="12" applyFont="1" applyBorder="1" applyAlignment="1">
      <alignment horizontal="center" vertical="center" wrapText="1"/>
    </xf>
    <xf numFmtId="0" fontId="42" fillId="0" borderId="2" xfId="0" applyFont="1" applyBorder="1" applyAlignment="1" applyProtection="1">
      <alignment horizontal="center" vertical="center" wrapText="1"/>
      <protection locked="0"/>
    </xf>
    <xf numFmtId="0" fontId="43" fillId="4" borderId="6" xfId="0" applyFont="1" applyFill="1" applyBorder="1" applyAlignment="1">
      <alignment horizontal="left" vertical="center" wrapText="1" readingOrder="1"/>
    </xf>
    <xf numFmtId="49" fontId="42" fillId="3" borderId="1" xfId="6" applyNumberFormat="1" applyFont="1" applyFill="1" applyBorder="1" applyAlignment="1">
      <alignment horizontal="center" vertical="center"/>
    </xf>
    <xf numFmtId="3" fontId="42" fillId="3" borderId="6" xfId="6" applyNumberFormat="1" applyFont="1" applyFill="1" applyBorder="1" applyAlignment="1">
      <alignment vertical="center" wrapText="1"/>
    </xf>
    <xf numFmtId="3" fontId="44" fillId="3" borderId="1" xfId="0" applyNumberFormat="1" applyFont="1" applyFill="1" applyBorder="1" applyAlignment="1">
      <alignment horizontal="center" vertical="center"/>
    </xf>
    <xf numFmtId="3" fontId="42" fillId="3" borderId="1" xfId="6" applyNumberFormat="1" applyFont="1" applyFill="1" applyBorder="1" applyAlignment="1">
      <alignment vertical="center" wrapText="1"/>
    </xf>
    <xf numFmtId="49" fontId="42" fillId="0" borderId="1" xfId="6" applyNumberFormat="1" applyFont="1" applyBorder="1" applyAlignment="1">
      <alignment horizontal="center" vertical="center"/>
    </xf>
    <xf numFmtId="3" fontId="42" fillId="0" borderId="1" xfId="6" applyNumberFormat="1" applyFont="1" applyBorder="1" applyAlignment="1">
      <alignment vertical="center" wrapText="1"/>
    </xf>
    <xf numFmtId="4" fontId="42" fillId="0" borderId="1" xfId="6" applyNumberFormat="1" applyFont="1" applyBorder="1" applyAlignment="1" applyProtection="1">
      <alignment horizontal="right" vertical="center" wrapText="1"/>
      <protection locked="0"/>
    </xf>
    <xf numFmtId="4" fontId="42" fillId="0" borderId="1" xfId="0" applyNumberFormat="1" applyFont="1" applyBorder="1" applyAlignment="1" applyProtection="1">
      <alignment horizontal="right" vertical="center"/>
      <protection locked="0"/>
    </xf>
    <xf numFmtId="4" fontId="44" fillId="0" borderId="1" xfId="0" applyNumberFormat="1" applyFont="1" applyBorder="1" applyAlignment="1">
      <alignment horizontal="center" vertical="center"/>
    </xf>
    <xf numFmtId="166" fontId="44" fillId="0" borderId="1" xfId="12" applyNumberFormat="1" applyFont="1" applyBorder="1" applyAlignment="1">
      <alignment horizontal="center" vertical="center"/>
    </xf>
    <xf numFmtId="3" fontId="42" fillId="3" borderId="6" xfId="6" applyNumberFormat="1" applyFont="1" applyFill="1" applyBorder="1" applyAlignment="1">
      <alignment horizontal="left" vertical="center" wrapText="1"/>
    </xf>
    <xf numFmtId="49" fontId="42" fillId="3" borderId="1" xfId="6" applyNumberFormat="1" applyFont="1" applyFill="1" applyBorder="1" applyAlignment="1">
      <alignment horizontal="right" vertical="center"/>
    </xf>
    <xf numFmtId="3" fontId="44" fillId="3" borderId="6" xfId="6" applyNumberFormat="1" applyFont="1" applyFill="1" applyBorder="1" applyAlignment="1">
      <alignment horizontal="left" vertical="center" wrapText="1" indent="2"/>
    </xf>
    <xf numFmtId="0" fontId="42" fillId="0" borderId="6" xfId="0" applyFont="1" applyBorder="1" applyAlignment="1" applyProtection="1">
      <alignment horizontal="right" vertical="center" wrapText="1"/>
      <protection locked="0"/>
    </xf>
    <xf numFmtId="3" fontId="42" fillId="0" borderId="1" xfId="6" applyNumberFormat="1" applyFont="1" applyBorder="1" applyAlignment="1" applyProtection="1">
      <alignment horizontal="right" vertical="center" wrapText="1"/>
      <protection locked="0"/>
    </xf>
    <xf numFmtId="3" fontId="42" fillId="0" borderId="1" xfId="0" applyNumberFormat="1" applyFont="1" applyBorder="1" applyAlignment="1" applyProtection="1">
      <alignment horizontal="right" vertical="center"/>
      <protection locked="0"/>
    </xf>
    <xf numFmtId="3" fontId="42" fillId="0" borderId="1" xfId="6" applyNumberFormat="1" applyFont="1" applyBorder="1" applyAlignment="1" applyProtection="1">
      <alignment horizontal="right" vertical="center"/>
      <protection locked="0"/>
    </xf>
    <xf numFmtId="3" fontId="44" fillId="0" borderId="1" xfId="0" applyNumberFormat="1" applyFont="1" applyBorder="1" applyAlignment="1">
      <alignment horizontal="center" vertical="center"/>
    </xf>
    <xf numFmtId="3" fontId="44" fillId="0" borderId="1" xfId="6" applyNumberFormat="1" applyFont="1" applyBorder="1" applyAlignment="1" applyProtection="1">
      <alignment horizontal="left" vertical="center"/>
      <protection locked="0"/>
    </xf>
    <xf numFmtId="49" fontId="43" fillId="4" borderId="1" xfId="6" applyNumberFormat="1" applyFont="1" applyFill="1" applyBorder="1" applyAlignment="1">
      <alignment horizontal="center" vertical="center"/>
    </xf>
    <xf numFmtId="3" fontId="43" fillId="4" borderId="1" xfId="6" applyNumberFormat="1" applyFont="1" applyFill="1" applyBorder="1" applyAlignment="1">
      <alignment vertical="center" wrapText="1"/>
    </xf>
    <xf numFmtId="3" fontId="42" fillId="3" borderId="1" xfId="6" applyNumberFormat="1" applyFont="1" applyFill="1" applyBorder="1" applyAlignment="1">
      <alignment horizontal="right" vertical="center" wrapText="1"/>
    </xf>
    <xf numFmtId="3" fontId="42" fillId="3" borderId="1" xfId="0" applyNumberFormat="1" applyFont="1" applyFill="1" applyBorder="1" applyAlignment="1">
      <alignment vertical="center"/>
    </xf>
    <xf numFmtId="3" fontId="42" fillId="3" borderId="1" xfId="6" applyNumberFormat="1" applyFont="1" applyFill="1" applyBorder="1" applyAlignment="1">
      <alignment vertical="center"/>
    </xf>
    <xf numFmtId="3" fontId="42" fillId="3" borderId="1" xfId="6" applyNumberFormat="1" applyFont="1" applyFill="1" applyBorder="1" applyAlignment="1">
      <alignment horizontal="left" vertical="center" wrapText="1"/>
    </xf>
    <xf numFmtId="3" fontId="44" fillId="3" borderId="1" xfId="6" applyNumberFormat="1" applyFont="1" applyFill="1" applyBorder="1" applyAlignment="1">
      <alignment horizontal="left" vertical="center" wrapText="1" indent="2"/>
    </xf>
    <xf numFmtId="49" fontId="42" fillId="3" borderId="5" xfId="6" applyNumberFormat="1" applyFont="1" applyFill="1" applyBorder="1" applyAlignment="1">
      <alignment horizontal="center" vertical="center"/>
    </xf>
    <xf numFmtId="3" fontId="44" fillId="0" borderId="4" xfId="6" applyNumberFormat="1" applyFont="1" applyBorder="1" applyAlignment="1">
      <alignment horizontal="left" vertical="center" wrapText="1" indent="2"/>
    </xf>
    <xf numFmtId="3" fontId="42" fillId="0" borderId="9" xfId="6" applyNumberFormat="1" applyFont="1" applyBorder="1" applyAlignment="1" applyProtection="1">
      <alignment horizontal="right" vertical="center" wrapText="1"/>
      <protection locked="0"/>
    </xf>
    <xf numFmtId="3" fontId="44" fillId="3" borderId="3" xfId="0" applyNumberFormat="1" applyFont="1" applyFill="1" applyBorder="1" applyAlignment="1">
      <alignment horizontal="center" vertical="center"/>
    </xf>
    <xf numFmtId="0" fontId="43" fillId="2" borderId="4" xfId="6" applyFont="1" applyFill="1" applyBorder="1" applyAlignment="1">
      <alignment vertical="center" wrapText="1"/>
    </xf>
    <xf numFmtId="0" fontId="43" fillId="2" borderId="9" xfId="6" applyFont="1" applyFill="1" applyBorder="1" applyAlignment="1">
      <alignment horizontal="center" vertical="center" wrapText="1"/>
    </xf>
    <xf numFmtId="0" fontId="42" fillId="0" borderId="1" xfId="0" applyFont="1" applyBorder="1" applyAlignment="1">
      <alignment horizontal="left" vertical="center" wrapText="1" readingOrder="1"/>
    </xf>
    <xf numFmtId="4" fontId="42" fillId="0" borderId="1" xfId="0" applyNumberFormat="1" applyFont="1" applyBorder="1" applyAlignment="1" applyProtection="1">
      <alignment horizontal="right" vertical="center" wrapText="1"/>
      <protection locked="0"/>
    </xf>
    <xf numFmtId="4" fontId="44" fillId="3" borderId="1" xfId="6" applyNumberFormat="1" applyFont="1" applyFill="1" applyBorder="1" applyAlignment="1">
      <alignment horizontal="center" vertical="center"/>
    </xf>
    <xf numFmtId="0" fontId="43" fillId="2" borderId="1" xfId="0" applyFont="1" applyFill="1" applyBorder="1" applyAlignment="1">
      <alignment horizontal="left" vertical="center" wrapText="1" readingOrder="1"/>
    </xf>
    <xf numFmtId="49" fontId="43" fillId="2" borderId="1" xfId="6" applyNumberFormat="1" applyFont="1" applyFill="1" applyBorder="1" applyAlignment="1">
      <alignment horizontal="center" vertical="center"/>
    </xf>
    <xf numFmtId="3" fontId="43" fillId="2" borderId="1" xfId="6" applyNumberFormat="1" applyFont="1" applyFill="1" applyBorder="1" applyAlignment="1">
      <alignment vertical="center" wrapText="1"/>
    </xf>
    <xf numFmtId="3" fontId="43" fillId="2" borderId="1" xfId="6" applyNumberFormat="1" applyFont="1" applyFill="1" applyBorder="1" applyAlignment="1">
      <alignment horizontal="right" vertical="center" wrapText="1"/>
    </xf>
    <xf numFmtId="3" fontId="45" fillId="2" borderId="1" xfId="6" applyNumberFormat="1" applyFont="1" applyFill="1" applyBorder="1" applyAlignment="1">
      <alignment horizontal="center" vertical="center" wrapText="1"/>
    </xf>
    <xf numFmtId="0" fontId="42" fillId="3" borderId="1" xfId="6" applyFont="1" applyFill="1" applyBorder="1" applyAlignment="1">
      <alignment vertical="center"/>
    </xf>
    <xf numFmtId="0" fontId="42" fillId="3" borderId="1" xfId="6" applyFont="1" applyFill="1" applyBorder="1" applyAlignment="1">
      <alignment vertical="center" wrapText="1"/>
    </xf>
    <xf numFmtId="3" fontId="47" fillId="2" borderId="1" xfId="6" applyNumberFormat="1" applyFont="1" applyFill="1" applyBorder="1" applyAlignment="1">
      <alignment vertical="center" wrapText="1"/>
    </xf>
    <xf numFmtId="49" fontId="43" fillId="31" borderId="1" xfId="6" applyNumberFormat="1" applyFont="1" applyFill="1" applyBorder="1" applyAlignment="1">
      <alignment horizontal="center" vertical="center"/>
    </xf>
    <xf numFmtId="0" fontId="43" fillId="31" borderId="1" xfId="6" applyFont="1" applyFill="1" applyBorder="1" applyAlignment="1">
      <alignment vertical="center" wrapText="1"/>
    </xf>
    <xf numFmtId="3" fontId="45" fillId="31" borderId="1" xfId="6" applyNumberFormat="1" applyFont="1" applyFill="1" applyBorder="1" applyAlignment="1">
      <alignment horizontal="center" vertical="center"/>
    </xf>
    <xf numFmtId="3" fontId="44" fillId="3" borderId="3" xfId="6" applyNumberFormat="1" applyFont="1" applyFill="1" applyBorder="1" applyAlignment="1">
      <alignment horizontal="center" vertical="center"/>
    </xf>
    <xf numFmtId="3" fontId="44" fillId="0" borderId="1" xfId="6" applyNumberFormat="1" applyFont="1" applyBorder="1" applyAlignment="1">
      <alignment horizontal="center" vertical="center"/>
    </xf>
    <xf numFmtId="3" fontId="44" fillId="0" borderId="1" xfId="6" applyNumberFormat="1" applyFont="1" applyBorder="1" applyAlignment="1">
      <alignment horizontal="left" vertical="center" wrapText="1" indent="2"/>
    </xf>
    <xf numFmtId="3" fontId="42" fillId="0" borderId="1" xfId="6" applyNumberFormat="1" applyFont="1" applyBorder="1" applyAlignment="1">
      <alignment horizontal="left" vertical="center" wrapText="1"/>
    </xf>
    <xf numFmtId="3" fontId="43" fillId="31" borderId="1" xfId="6" applyNumberFormat="1" applyFont="1" applyFill="1" applyBorder="1" applyAlignment="1">
      <alignment horizontal="left" vertical="center" wrapText="1"/>
    </xf>
    <xf numFmtId="4" fontId="42" fillId="0" borderId="1" xfId="6" applyNumberFormat="1" applyFont="1" applyBorder="1" applyAlignment="1" applyProtection="1">
      <alignment horizontal="right" vertical="center"/>
      <protection locked="0"/>
    </xf>
    <xf numFmtId="49" fontId="42" fillId="0" borderId="0" xfId="6" applyNumberFormat="1" applyFont="1" applyAlignment="1">
      <alignment horizontal="center" vertical="center"/>
    </xf>
    <xf numFmtId="3" fontId="42" fillId="0" borderId="0" xfId="6" applyNumberFormat="1" applyFont="1" applyAlignment="1">
      <alignment horizontal="left" vertical="center" wrapText="1"/>
    </xf>
    <xf numFmtId="3" fontId="42" fillId="0" borderId="0" xfId="6" applyNumberFormat="1" applyFont="1" applyAlignment="1">
      <alignment horizontal="right" vertical="center" wrapText="1"/>
    </xf>
    <xf numFmtId="3" fontId="42" fillId="0" borderId="0" xfId="0" applyNumberFormat="1" applyFont="1" applyAlignment="1">
      <alignment horizontal="right" vertical="center"/>
    </xf>
    <xf numFmtId="3" fontId="42" fillId="0" borderId="0" xfId="6" applyNumberFormat="1" applyFont="1" applyAlignment="1">
      <alignment horizontal="right" vertical="center"/>
    </xf>
    <xf numFmtId="3" fontId="44" fillId="0" borderId="0" xfId="0" applyNumberFormat="1" applyFont="1" applyAlignment="1">
      <alignment horizontal="center" vertical="center"/>
    </xf>
    <xf numFmtId="3" fontId="44" fillId="0" borderId="0" xfId="6" applyNumberFormat="1" applyFont="1" applyAlignment="1">
      <alignment horizontal="center" vertical="center"/>
    </xf>
    <xf numFmtId="0" fontId="42" fillId="0" borderId="0" xfId="0" applyFont="1" applyAlignment="1">
      <alignment vertical="center" wrapText="1"/>
    </xf>
    <xf numFmtId="0" fontId="42" fillId="0" borderId="0" xfId="0" applyFont="1" applyAlignment="1">
      <alignment horizontal="right" vertical="center"/>
    </xf>
    <xf numFmtId="0" fontId="44" fillId="0" borderId="0" xfId="0" applyFont="1" applyAlignment="1">
      <alignment horizontal="center" vertical="center"/>
    </xf>
    <xf numFmtId="3" fontId="42" fillId="0" borderId="1" xfId="6" applyNumberFormat="1" applyFont="1" applyFill="1" applyBorder="1" applyAlignment="1" applyProtection="1">
      <alignment horizontal="right" vertical="center" wrapText="1"/>
      <protection locked="0"/>
    </xf>
    <xf numFmtId="3" fontId="42" fillId="0" borderId="1" xfId="6" applyNumberFormat="1" applyFont="1" applyFill="1" applyBorder="1" applyAlignment="1" applyProtection="1">
      <alignment horizontal="right" vertical="center" wrapText="1"/>
      <protection locked="0"/>
    </xf>
    <xf numFmtId="3" fontId="44" fillId="0" borderId="1" xfId="0" applyNumberFormat="1" applyFont="1" applyFill="1" applyBorder="1" applyAlignment="1" applyProtection="1">
      <alignment horizontal="left" vertical="center" wrapText="1"/>
      <protection locked="0"/>
    </xf>
    <xf numFmtId="9" fontId="44" fillId="3" borderId="1" xfId="6" applyNumberFormat="1" applyFont="1" applyFill="1" applyBorder="1" applyAlignment="1">
      <alignment horizontal="center" vertical="center"/>
    </xf>
    <xf numFmtId="3" fontId="55" fillId="0" borderId="1" xfId="6" applyNumberFormat="1" applyFont="1" applyFill="1" applyBorder="1" applyAlignment="1" applyProtection="1">
      <alignment horizontal="left" vertical="center" wrapText="1"/>
      <protection locked="0"/>
    </xf>
    <xf numFmtId="0" fontId="42" fillId="0" borderId="1" xfId="0" applyFont="1" applyFill="1" applyBorder="1" applyAlignment="1" applyProtection="1">
      <alignment horizontal="center" vertical="center" wrapText="1"/>
      <protection locked="0"/>
    </xf>
    <xf numFmtId="0" fontId="42" fillId="0" borderId="1" xfId="0" applyFont="1" applyFill="1" applyBorder="1" applyAlignment="1">
      <alignment horizontal="center" vertical="center" wrapText="1"/>
    </xf>
    <xf numFmtId="0" fontId="42" fillId="0" borderId="1" xfId="6" applyFont="1" applyFill="1" applyBorder="1" applyAlignment="1">
      <alignment horizontal="center" vertical="center"/>
    </xf>
    <xf numFmtId="0" fontId="42" fillId="0" borderId="2" xfId="0" applyFont="1" applyFill="1" applyBorder="1" applyAlignment="1">
      <alignment horizontal="center" vertical="center" wrapText="1"/>
    </xf>
    <xf numFmtId="3" fontId="42" fillId="0" borderId="6" xfId="6" applyNumberFormat="1" applyFont="1" applyFill="1" applyBorder="1" applyAlignment="1" applyProtection="1">
      <alignment horizontal="right" vertical="center" wrapText="1"/>
      <protection locked="0"/>
    </xf>
    <xf numFmtId="3" fontId="42" fillId="0" borderId="1" xfId="0" applyNumberFormat="1" applyFont="1" applyFill="1" applyBorder="1" applyAlignment="1" applyProtection="1">
      <alignment horizontal="right" vertical="center"/>
      <protection locked="0"/>
    </xf>
    <xf numFmtId="3" fontId="42" fillId="0" borderId="1" xfId="0" applyNumberFormat="1" applyFont="1" applyFill="1" applyBorder="1" applyAlignment="1">
      <alignment horizontal="center" vertical="center" wrapText="1"/>
    </xf>
    <xf numFmtId="3" fontId="44" fillId="32" borderId="1" xfId="0" applyNumberFormat="1" applyFont="1" applyFill="1" applyBorder="1" applyAlignment="1" applyProtection="1">
      <alignment horizontal="left" vertical="center" wrapText="1"/>
      <protection locked="0"/>
    </xf>
    <xf numFmtId="3" fontId="45" fillId="32" borderId="1" xfId="0" applyNumberFormat="1" applyFont="1" applyFill="1" applyBorder="1" applyAlignment="1">
      <alignment horizontal="left" vertical="center" wrapText="1"/>
    </xf>
    <xf numFmtId="3" fontId="45" fillId="32" borderId="1" xfId="0" applyNumberFormat="1" applyFont="1" applyFill="1" applyBorder="1" applyAlignment="1" applyProtection="1">
      <alignment horizontal="left" vertical="center" wrapText="1"/>
      <protection locked="0"/>
    </xf>
    <xf numFmtId="0" fontId="42" fillId="0" borderId="0" xfId="6" applyFont="1"/>
    <xf numFmtId="0" fontId="42" fillId="0" borderId="1" xfId="6" applyFont="1" applyBorder="1" applyAlignment="1">
      <alignment horizontal="left" vertical="center" wrapText="1"/>
    </xf>
    <xf numFmtId="3" fontId="42" fillId="0" borderId="1" xfId="6" applyNumberFormat="1" applyFont="1" applyBorder="1" applyAlignment="1">
      <alignment horizontal="right" vertical="center" wrapText="1"/>
    </xf>
    <xf numFmtId="0" fontId="42" fillId="0" borderId="1" xfId="6" applyFont="1" applyBorder="1" applyAlignment="1" applyProtection="1">
      <alignment horizontal="center" vertical="center"/>
      <protection locked="0"/>
    </xf>
    <xf numFmtId="0" fontId="42" fillId="0" borderId="1" xfId="6" applyFont="1" applyBorder="1" applyAlignment="1" applyProtection="1">
      <alignment horizontal="left" vertical="center" wrapText="1"/>
      <protection locked="0"/>
    </xf>
    <xf numFmtId="0" fontId="42" fillId="0" borderId="0" xfId="6" applyFont="1" applyProtection="1">
      <protection locked="0"/>
    </xf>
    <xf numFmtId="0" fontId="42" fillId="7" borderId="1" xfId="0" applyFont="1" applyFill="1" applyBorder="1" applyAlignment="1">
      <alignment horizontal="center" vertical="center" wrapText="1"/>
    </xf>
    <xf numFmtId="0" fontId="42" fillId="7" borderId="1" xfId="0" applyFont="1" applyFill="1" applyBorder="1" applyAlignment="1">
      <alignment horizontal="left" vertical="center" wrapText="1"/>
    </xf>
    <xf numFmtId="0" fontId="42" fillId="7" borderId="10" xfId="0" applyFont="1" applyFill="1" applyBorder="1" applyAlignment="1">
      <alignment horizontal="center" vertical="center" wrapText="1"/>
    </xf>
    <xf numFmtId="0" fontId="42" fillId="7" borderId="10" xfId="0" applyFont="1" applyFill="1" applyBorder="1" applyAlignment="1">
      <alignment horizontal="left" vertical="center" wrapText="1"/>
    </xf>
    <xf numFmtId="0" fontId="42" fillId="7" borderId="11" xfId="0" applyFont="1" applyFill="1" applyBorder="1" applyAlignment="1">
      <alignment horizontal="center" vertical="center" wrapText="1"/>
    </xf>
    <xf numFmtId="0" fontId="42" fillId="7" borderId="11" xfId="0" applyFont="1" applyFill="1" applyBorder="1" applyAlignment="1">
      <alignment horizontal="left" vertical="center" wrapText="1"/>
    </xf>
    <xf numFmtId="0" fontId="42" fillId="4" borderId="10" xfId="0" applyFont="1" applyFill="1" applyBorder="1" applyAlignment="1">
      <alignment horizontal="center" vertical="center" wrapText="1"/>
    </xf>
    <xf numFmtId="3" fontId="42" fillId="4" borderId="1" xfId="6" applyNumberFormat="1" applyFont="1" applyFill="1" applyBorder="1" applyAlignment="1">
      <alignment horizontal="right" vertical="center" wrapText="1"/>
    </xf>
    <xf numFmtId="0" fontId="42" fillId="7" borderId="10" xfId="0" applyFont="1" applyFill="1" applyBorder="1" applyAlignment="1">
      <alignment horizontal="left" vertical="center" wrapText="1" indent="1"/>
    </xf>
    <xf numFmtId="3" fontId="43" fillId="2" borderId="1" xfId="6" applyNumberFormat="1" applyFont="1" applyFill="1" applyBorder="1" applyAlignment="1">
      <alignment horizontal="right"/>
    </xf>
    <xf numFmtId="0" fontId="54" fillId="0" borderId="0" xfId="0" applyFont="1" applyAlignment="1">
      <alignment horizontal="center" vertical="center" wrapText="1"/>
    </xf>
    <xf numFmtId="0" fontId="54" fillId="0" borderId="0" xfId="0" applyFont="1" applyAlignment="1">
      <alignment horizontal="left" vertical="center" wrapText="1"/>
    </xf>
    <xf numFmtId="3" fontId="42" fillId="0" borderId="0" xfId="6" applyNumberFormat="1" applyFont="1"/>
    <xf numFmtId="0" fontId="42" fillId="0" borderId="12" xfId="6" applyFont="1" applyBorder="1"/>
    <xf numFmtId="0" fontId="42" fillId="0" borderId="13" xfId="6" applyFont="1" applyBorder="1"/>
    <xf numFmtId="0" fontId="42" fillId="0" borderId="14" xfId="6" applyFont="1" applyBorder="1"/>
    <xf numFmtId="3" fontId="44" fillId="0" borderId="1" xfId="6" applyNumberFormat="1" applyFont="1" applyFill="1" applyBorder="1" applyAlignment="1" applyProtection="1">
      <alignment horizontal="left" vertical="center"/>
      <protection locked="0"/>
    </xf>
    <xf numFmtId="1" fontId="43" fillId="2" borderId="1" xfId="6" applyNumberFormat="1" applyFont="1" applyFill="1" applyBorder="1" applyAlignment="1">
      <alignment horizontal="right" vertical="center" wrapText="1"/>
    </xf>
    <xf numFmtId="1" fontId="42" fillId="3" borderId="1" xfId="6" applyNumberFormat="1" applyFont="1" applyFill="1" applyBorder="1" applyAlignment="1" applyProtection="1">
      <alignment horizontal="right" vertical="center"/>
      <protection locked="0"/>
    </xf>
    <xf numFmtId="1" fontId="42" fillId="3" borderId="1" xfId="0" applyNumberFormat="1" applyFont="1" applyFill="1" applyBorder="1" applyAlignment="1" applyProtection="1">
      <alignment vertical="center"/>
      <protection locked="0"/>
    </xf>
    <xf numFmtId="1" fontId="42" fillId="3" borderId="1" xfId="6" applyNumberFormat="1" applyFont="1" applyFill="1" applyBorder="1" applyAlignment="1" applyProtection="1">
      <alignment vertical="center"/>
      <protection locked="0"/>
    </xf>
    <xf numFmtId="1" fontId="42" fillId="3" borderId="1" xfId="6" applyNumberFormat="1" applyFont="1" applyFill="1" applyBorder="1" applyAlignment="1" applyProtection="1">
      <alignment horizontal="right" vertical="center" wrapText="1"/>
      <protection locked="0"/>
    </xf>
    <xf numFmtId="3" fontId="44" fillId="0" borderId="1" xfId="0" applyNumberFormat="1" applyFont="1" applyFill="1" applyBorder="1" applyAlignment="1" applyProtection="1">
      <alignment horizontal="left" vertical="center"/>
      <protection locked="0"/>
    </xf>
    <xf numFmtId="1" fontId="43" fillId="2" borderId="1" xfId="0" applyNumberFormat="1" applyFont="1" applyFill="1" applyBorder="1" applyAlignment="1">
      <alignment horizontal="right" vertical="center" wrapText="1"/>
    </xf>
    <xf numFmtId="1" fontId="42" fillId="3" borderId="1" xfId="0" applyNumberFormat="1" applyFont="1" applyFill="1" applyBorder="1" applyAlignment="1" applyProtection="1">
      <alignment horizontal="right" vertical="center" wrapText="1"/>
      <protection locked="0"/>
    </xf>
    <xf numFmtId="1" fontId="42" fillId="0" borderId="1" xfId="0" applyNumberFormat="1" applyFont="1" applyBorder="1" applyAlignment="1" applyProtection="1">
      <alignment horizontal="right" vertical="center" wrapText="1"/>
      <protection locked="0"/>
    </xf>
    <xf numFmtId="1" fontId="43" fillId="2" borderId="1" xfId="0" applyNumberFormat="1" applyFont="1" applyFill="1" applyBorder="1" applyAlignment="1" applyProtection="1">
      <alignment horizontal="right" vertical="center" wrapText="1"/>
      <protection locked="0"/>
    </xf>
    <xf numFmtId="1" fontId="43" fillId="3" borderId="1" xfId="0" applyNumberFormat="1" applyFont="1" applyFill="1" applyBorder="1" applyAlignment="1" applyProtection="1">
      <alignment horizontal="right" vertical="center" wrapText="1"/>
      <protection locked="0"/>
    </xf>
    <xf numFmtId="1" fontId="43" fillId="3" borderId="1" xfId="1" applyNumberFormat="1" applyFont="1" applyFill="1" applyBorder="1" applyAlignment="1" applyProtection="1">
      <alignment horizontal="right" vertical="center" wrapText="1"/>
      <protection locked="0"/>
    </xf>
    <xf numFmtId="1" fontId="43" fillId="0" borderId="1" xfId="0" applyNumberFormat="1" applyFont="1" applyBorder="1" applyAlignment="1" applyProtection="1">
      <alignment horizontal="right" vertical="center" wrapText="1"/>
      <protection locked="0"/>
    </xf>
    <xf numFmtId="1" fontId="43" fillId="0" borderId="1" xfId="1" applyNumberFormat="1" applyFont="1" applyBorder="1" applyAlignment="1" applyProtection="1">
      <alignment horizontal="right" vertical="center" wrapText="1"/>
      <protection locked="0"/>
    </xf>
    <xf numFmtId="1" fontId="42" fillId="3" borderId="1" xfId="0" applyNumberFormat="1" applyFont="1" applyFill="1" applyBorder="1" applyAlignment="1">
      <alignment horizontal="right" vertical="center" wrapText="1"/>
    </xf>
    <xf numFmtId="1" fontId="49" fillId="3" borderId="1" xfId="0" applyNumberFormat="1" applyFont="1" applyFill="1" applyBorder="1" applyAlignment="1" applyProtection="1">
      <alignment horizontal="right" vertical="center" wrapText="1"/>
      <protection locked="0"/>
    </xf>
    <xf numFmtId="1" fontId="42" fillId="2" borderId="1" xfId="0" applyNumberFormat="1" applyFont="1" applyFill="1" applyBorder="1" applyAlignment="1">
      <alignment horizontal="right" vertical="center" wrapText="1"/>
    </xf>
    <xf numFmtId="1" fontId="47" fillId="2" borderId="1" xfId="0" applyNumberFormat="1" applyFont="1" applyFill="1" applyBorder="1" applyAlignment="1">
      <alignment horizontal="right" vertical="center" wrapText="1"/>
    </xf>
    <xf numFmtId="0" fontId="43" fillId="3" borderId="5" xfId="1" applyNumberFormat="1" applyFont="1" applyFill="1" applyBorder="1" applyAlignment="1" applyProtection="1">
      <alignment horizontal="center" vertical="center"/>
      <protection locked="0"/>
    </xf>
    <xf numFmtId="0" fontId="43" fillId="3" borderId="16" xfId="1" applyNumberFormat="1" applyFont="1" applyFill="1" applyBorder="1" applyAlignment="1" applyProtection="1">
      <alignment horizontal="center" vertical="center"/>
      <protection locked="0"/>
    </xf>
    <xf numFmtId="0" fontId="42" fillId="3" borderId="5" xfId="1" applyNumberFormat="1" applyFont="1" applyFill="1" applyBorder="1" applyAlignment="1" applyProtection="1">
      <alignment horizontal="center" vertical="center"/>
      <protection locked="0"/>
    </xf>
    <xf numFmtId="0" fontId="42" fillId="3" borderId="16" xfId="1" applyNumberFormat="1" applyFont="1" applyFill="1" applyBorder="1" applyAlignment="1" applyProtection="1">
      <alignment horizontal="center" vertical="center"/>
      <protection locked="0"/>
    </xf>
    <xf numFmtId="0" fontId="42" fillId="0" borderId="0" xfId="6" applyFont="1" applyAlignment="1">
      <alignment horizontal="left" vertical="center" wrapText="1"/>
    </xf>
    <xf numFmtId="3" fontId="43" fillId="2" borderId="1" xfId="0" applyNumberFormat="1" applyFont="1" applyFill="1" applyBorder="1" applyAlignment="1">
      <alignment horizontal="right" vertical="center" wrapText="1"/>
    </xf>
    <xf numFmtId="3" fontId="42" fillId="0" borderId="1" xfId="0" applyNumberFormat="1" applyFont="1" applyBorder="1" applyAlignment="1" applyProtection="1">
      <alignment horizontal="right" vertical="center" wrapText="1"/>
      <protection locked="0"/>
    </xf>
    <xf numFmtId="3" fontId="42" fillId="3" borderId="1" xfId="0" applyNumberFormat="1" applyFont="1" applyFill="1" applyBorder="1" applyAlignment="1" applyProtection="1">
      <alignment horizontal="right" vertical="center" wrapText="1"/>
      <protection locked="0"/>
    </xf>
    <xf numFmtId="3" fontId="43" fillId="2" borderId="1" xfId="0" applyNumberFormat="1" applyFont="1" applyFill="1" applyBorder="1" applyAlignment="1" applyProtection="1">
      <alignment horizontal="right" vertical="center" wrapText="1"/>
      <protection locked="0"/>
    </xf>
    <xf numFmtId="3" fontId="43" fillId="3" borderId="1" xfId="0" applyNumberFormat="1" applyFont="1" applyFill="1" applyBorder="1" applyAlignment="1" applyProtection="1">
      <alignment horizontal="right" vertical="center" wrapText="1"/>
      <protection locked="0"/>
    </xf>
    <xf numFmtId="3" fontId="43" fillId="0" borderId="1" xfId="0" applyNumberFormat="1" applyFont="1" applyBorder="1" applyAlignment="1" applyProtection="1">
      <alignment horizontal="right" vertical="center" wrapText="1"/>
      <protection locked="0"/>
    </xf>
    <xf numFmtId="0" fontId="43" fillId="2" borderId="1" xfId="0" applyFont="1" applyFill="1" applyBorder="1" applyAlignment="1">
      <alignment horizontal="right" vertical="center" wrapText="1"/>
    </xf>
    <xf numFmtId="0" fontId="42" fillId="2" borderId="1" xfId="0" applyFont="1" applyFill="1" applyBorder="1" applyAlignment="1">
      <alignment horizontal="right" vertical="center" wrapText="1"/>
    </xf>
    <xf numFmtId="0" fontId="43" fillId="2" borderId="1" xfId="0" applyFont="1" applyFill="1" applyBorder="1" applyAlignment="1" applyProtection="1">
      <alignment horizontal="right" vertical="center" wrapText="1"/>
      <protection locked="0"/>
    </xf>
    <xf numFmtId="3" fontId="43" fillId="6" borderId="1" xfId="6" applyNumberFormat="1" applyFont="1" applyFill="1" applyBorder="1" applyAlignment="1">
      <alignment horizontal="right" vertical="center" wrapText="1"/>
    </xf>
    <xf numFmtId="3" fontId="43" fillId="2" borderId="1" xfId="6" applyNumberFormat="1" applyFont="1" applyFill="1" applyBorder="1" applyAlignment="1">
      <alignment vertical="center"/>
    </xf>
    <xf numFmtId="3" fontId="42" fillId="0" borderId="1" xfId="6" applyNumberFormat="1" applyFont="1" applyBorder="1" applyAlignment="1" applyProtection="1">
      <alignment vertical="center"/>
      <protection locked="0"/>
    </xf>
    <xf numFmtId="3" fontId="43" fillId="0" borderId="1" xfId="6" applyNumberFormat="1" applyFont="1" applyBorder="1" applyAlignment="1" applyProtection="1">
      <alignment vertical="center"/>
      <protection locked="0"/>
    </xf>
    <xf numFmtId="3" fontId="43" fillId="0" borderId="1" xfId="0" applyNumberFormat="1" applyFont="1" applyBorder="1" applyAlignment="1" applyProtection="1">
      <alignment vertical="center"/>
      <protection locked="0"/>
    </xf>
    <xf numFmtId="3" fontId="43" fillId="0" borderId="1" xfId="0" applyNumberFormat="1" applyFont="1" applyBorder="1" applyAlignment="1">
      <alignment horizontal="right" vertical="center"/>
    </xf>
    <xf numFmtId="3" fontId="43" fillId="2" borderId="1" xfId="0" applyNumberFormat="1" applyFont="1" applyFill="1" applyBorder="1" applyAlignment="1">
      <alignment horizontal="right" vertical="center"/>
    </xf>
    <xf numFmtId="3" fontId="42" fillId="0" borderId="1" xfId="6" applyNumberFormat="1" applyFont="1" applyBorder="1" applyAlignment="1">
      <alignment vertical="center"/>
    </xf>
    <xf numFmtId="3" fontId="42" fillId="0" borderId="1" xfId="6" applyNumberFormat="1" applyFont="1" applyBorder="1" applyAlignment="1">
      <alignment horizontal="right" vertical="center"/>
    </xf>
    <xf numFmtId="3" fontId="43" fillId="2" borderId="1" xfId="6" applyNumberFormat="1" applyFont="1" applyFill="1" applyBorder="1" applyAlignment="1">
      <alignment horizontal="right" vertical="center"/>
    </xf>
    <xf numFmtId="3" fontId="43" fillId="0" borderId="1" xfId="6" applyNumberFormat="1" applyFont="1" applyBorder="1" applyAlignment="1" applyProtection="1">
      <alignment horizontal="right" vertical="center"/>
      <protection locked="0"/>
    </xf>
    <xf numFmtId="3" fontId="43" fillId="2" borderId="1" xfId="6" applyNumberFormat="1" applyFont="1" applyFill="1" applyBorder="1" applyAlignment="1" applyProtection="1">
      <alignment horizontal="right" vertical="center"/>
      <protection locked="0"/>
    </xf>
    <xf numFmtId="3" fontId="43" fillId="0" borderId="1" xfId="0" applyNumberFormat="1" applyFont="1" applyBorder="1" applyAlignment="1" applyProtection="1">
      <alignment horizontal="right" vertical="center"/>
      <protection locked="0"/>
    </xf>
    <xf numFmtId="3" fontId="42" fillId="0" borderId="1" xfId="0" applyNumberFormat="1" applyFont="1" applyBorder="1" applyAlignment="1">
      <alignment horizontal="right" vertical="center"/>
    </xf>
    <xf numFmtId="0" fontId="43" fillId="33" borderId="1" xfId="6" applyNumberFormat="1" applyFont="1" applyFill="1" applyBorder="1" applyAlignment="1" applyProtection="1">
      <alignment horizontal="center" vertical="center"/>
    </xf>
    <xf numFmtId="49" fontId="43" fillId="33" borderId="1" xfId="6" applyNumberFormat="1" applyFont="1" applyFill="1" applyBorder="1" applyAlignment="1" applyProtection="1">
      <alignment horizontal="left" vertical="center" wrapText="1"/>
    </xf>
    <xf numFmtId="3" fontId="43" fillId="33" borderId="1" xfId="6" applyNumberFormat="1" applyFont="1" applyFill="1" applyBorder="1" applyAlignment="1">
      <alignment horizontal="right" vertical="center" wrapText="1"/>
    </xf>
    <xf numFmtId="3" fontId="43" fillId="33" borderId="1" xfId="6" applyNumberFormat="1" applyFont="1" applyFill="1" applyBorder="1" applyAlignment="1" applyProtection="1">
      <alignment horizontal="right" vertical="center" wrapText="1"/>
    </xf>
    <xf numFmtId="3" fontId="43" fillId="33" borderId="1" xfId="6" applyNumberFormat="1" applyFont="1" applyFill="1" applyBorder="1" applyAlignment="1" applyProtection="1">
      <alignment vertical="center"/>
      <protection locked="0"/>
    </xf>
    <xf numFmtId="3" fontId="43" fillId="33" borderId="1" xfId="6" applyNumberFormat="1" applyFont="1" applyFill="1" applyBorder="1" applyAlignment="1" applyProtection="1">
      <alignment horizontal="right" vertical="center"/>
      <protection locked="0"/>
    </xf>
    <xf numFmtId="0" fontId="43" fillId="33" borderId="1" xfId="6" applyFont="1" applyFill="1" applyBorder="1" applyAlignment="1" applyProtection="1">
      <alignment vertical="center" wrapText="1"/>
    </xf>
    <xf numFmtId="3" fontId="43" fillId="33" borderId="1" xfId="6" applyNumberFormat="1" applyFont="1" applyFill="1" applyBorder="1" applyAlignment="1">
      <alignment horizontal="right" vertical="center"/>
    </xf>
    <xf numFmtId="3" fontId="43" fillId="33" borderId="1" xfId="6" applyNumberFormat="1" applyFont="1" applyFill="1" applyBorder="1" applyAlignment="1" applyProtection="1">
      <alignment vertical="center"/>
    </xf>
    <xf numFmtId="0" fontId="43" fillId="33" borderId="6" xfId="6" applyNumberFormat="1" applyFont="1" applyFill="1" applyBorder="1" applyAlignment="1" applyProtection="1">
      <alignment horizontal="center" vertical="center"/>
    </xf>
    <xf numFmtId="16" fontId="43" fillId="33" borderId="6" xfId="6" applyNumberFormat="1" applyFont="1" applyFill="1" applyBorder="1" applyAlignment="1" applyProtection="1">
      <alignment vertical="center" wrapText="1"/>
    </xf>
    <xf numFmtId="3" fontId="43" fillId="33" borderId="6" xfId="6" applyNumberFormat="1" applyFont="1" applyFill="1" applyBorder="1" applyAlignment="1">
      <alignment horizontal="right" vertical="center" wrapText="1"/>
    </xf>
    <xf numFmtId="16" fontId="43" fillId="33" borderId="1" xfId="6" applyNumberFormat="1" applyFont="1" applyFill="1" applyBorder="1" applyAlignment="1" applyProtection="1">
      <alignment vertical="center" wrapText="1"/>
    </xf>
    <xf numFmtId="0" fontId="43" fillId="33" borderId="4" xfId="6" applyNumberFormat="1" applyFont="1" applyFill="1" applyBorder="1" applyAlignment="1" applyProtection="1">
      <alignment horizontal="center" vertical="center"/>
    </xf>
    <xf numFmtId="0" fontId="43" fillId="33" borderId="4" xfId="6" applyFont="1" applyFill="1" applyBorder="1" applyAlignment="1" applyProtection="1">
      <alignment vertical="center" wrapText="1"/>
    </xf>
    <xf numFmtId="3" fontId="43" fillId="33" borderId="4" xfId="6" applyNumberFormat="1" applyFont="1" applyFill="1" applyBorder="1" applyAlignment="1">
      <alignment horizontal="right" vertical="center" wrapText="1"/>
    </xf>
    <xf numFmtId="0" fontId="43" fillId="33" borderId="1" xfId="0" applyFont="1" applyFill="1" applyBorder="1" applyAlignment="1" applyProtection="1">
      <alignment horizontal="center" vertical="center"/>
    </xf>
    <xf numFmtId="0" fontId="43" fillId="33" borderId="1" xfId="0" applyFont="1" applyFill="1" applyBorder="1" applyAlignment="1" applyProtection="1">
      <alignment vertical="center" wrapText="1"/>
    </xf>
    <xf numFmtId="3" fontId="43" fillId="33" borderId="1" xfId="0" applyNumberFormat="1" applyFont="1" applyFill="1" applyBorder="1" applyAlignment="1">
      <alignment vertical="center"/>
    </xf>
    <xf numFmtId="3" fontId="43" fillId="33" borderId="1" xfId="0" applyNumberFormat="1" applyFont="1" applyFill="1" applyBorder="1" applyAlignment="1">
      <alignment horizontal="right" vertical="center"/>
    </xf>
    <xf numFmtId="3" fontId="43" fillId="33" borderId="1" xfId="0" applyNumberFormat="1" applyFont="1" applyFill="1" applyBorder="1" applyAlignment="1" applyProtection="1">
      <alignment vertical="center"/>
      <protection locked="0"/>
    </xf>
    <xf numFmtId="3" fontId="43" fillId="33" borderId="1" xfId="0" applyNumberFormat="1" applyFont="1" applyFill="1" applyBorder="1" applyAlignment="1" applyProtection="1">
      <alignment horizontal="right" vertical="center"/>
      <protection locked="0"/>
    </xf>
    <xf numFmtId="3" fontId="43" fillId="33" borderId="1" xfId="6" applyNumberFormat="1" applyFont="1" applyFill="1" applyBorder="1" applyAlignment="1" applyProtection="1">
      <alignment vertical="center" wrapText="1"/>
    </xf>
    <xf numFmtId="0" fontId="43" fillId="33" borderId="1" xfId="6" applyFont="1" applyFill="1" applyBorder="1" applyAlignment="1" applyProtection="1">
      <alignment horizontal="left" vertical="center" wrapText="1"/>
    </xf>
    <xf numFmtId="3" fontId="43" fillId="33" borderId="1" xfId="6" applyNumberFormat="1" applyFont="1" applyFill="1" applyBorder="1" applyAlignment="1">
      <alignment vertical="center"/>
    </xf>
    <xf numFmtId="3" fontId="42" fillId="0" borderId="4" xfId="6" applyNumberFormat="1" applyFont="1" applyBorder="1" applyAlignment="1">
      <alignment horizontal="right" vertical="center" wrapText="1"/>
    </xf>
    <xf numFmtId="3" fontId="42" fillId="0" borderId="1" xfId="0" applyNumberFormat="1" applyFont="1" applyBorder="1" applyAlignment="1">
      <alignment horizontal="right" vertical="center" wrapText="1"/>
    </xf>
    <xf numFmtId="3" fontId="42" fillId="0" borderId="2" xfId="0" applyNumberFormat="1" applyFont="1" applyBorder="1" applyAlignment="1">
      <alignment horizontal="right" vertical="center" wrapText="1"/>
    </xf>
    <xf numFmtId="3" fontId="42" fillId="0" borderId="2" xfId="12" applyNumberFormat="1" applyFont="1" applyFill="1" applyBorder="1" applyAlignment="1" applyProtection="1">
      <alignment horizontal="right" vertical="center" wrapText="1"/>
    </xf>
    <xf numFmtId="3" fontId="42" fillId="0" borderId="2" xfId="0" applyNumberFormat="1" applyFont="1" applyBorder="1" applyAlignment="1" applyProtection="1">
      <alignment horizontal="right" vertical="center" wrapText="1"/>
      <protection locked="0"/>
    </xf>
    <xf numFmtId="3" fontId="42" fillId="0" borderId="6" xfId="0" applyNumberFormat="1" applyFont="1" applyBorder="1" applyAlignment="1" applyProtection="1">
      <alignment horizontal="right" vertical="center" wrapText="1"/>
      <protection locked="0"/>
    </xf>
    <xf numFmtId="3" fontId="42" fillId="3" borderId="3" xfId="6" applyNumberFormat="1" applyFont="1" applyFill="1" applyBorder="1" applyAlignment="1" applyProtection="1">
      <alignment horizontal="right" vertical="center" wrapText="1"/>
      <protection locked="0"/>
    </xf>
    <xf numFmtId="3" fontId="42" fillId="3" borderId="1" xfId="6" applyNumberFormat="1" applyFont="1" applyFill="1" applyBorder="1" applyAlignment="1">
      <alignment horizontal="right" vertical="center"/>
    </xf>
    <xf numFmtId="3" fontId="42" fillId="3" borderId="1" xfId="0" applyNumberFormat="1" applyFont="1" applyFill="1" applyBorder="1" applyAlignment="1">
      <alignment horizontal="right" vertical="center"/>
    </xf>
    <xf numFmtId="3" fontId="43" fillId="2" borderId="1" xfId="1" applyNumberFormat="1" applyFont="1" applyFill="1" applyBorder="1" applyAlignment="1">
      <alignment vertical="center"/>
    </xf>
    <xf numFmtId="3" fontId="42" fillId="0" borderId="1" xfId="1" applyNumberFormat="1" applyFont="1" applyBorder="1" applyAlignment="1" applyProtection="1">
      <alignment horizontal="right" vertical="center"/>
      <protection locked="0"/>
    </xf>
    <xf numFmtId="3" fontId="42" fillId="0" borderId="1" xfId="1" applyNumberFormat="1" applyFont="1" applyBorder="1" applyAlignment="1" applyProtection="1">
      <alignment vertical="center"/>
      <protection locked="0"/>
    </xf>
    <xf numFmtId="3" fontId="42" fillId="2" borderId="1" xfId="1" applyNumberFormat="1" applyFont="1" applyFill="1" applyBorder="1" applyAlignment="1">
      <alignment vertical="center"/>
    </xf>
    <xf numFmtId="3" fontId="42" fillId="3" borderId="1" xfId="1" applyNumberFormat="1" applyFont="1" applyFill="1" applyBorder="1" applyAlignment="1" applyProtection="1">
      <alignment horizontal="right" vertical="center"/>
      <protection locked="0"/>
    </xf>
    <xf numFmtId="3" fontId="43" fillId="0" borderId="1" xfId="1" applyNumberFormat="1" applyFont="1" applyFill="1" applyBorder="1" applyAlignment="1" applyProtection="1">
      <alignment vertical="center"/>
    </xf>
    <xf numFmtId="3" fontId="42" fillId="0" borderId="1" xfId="6" applyNumberFormat="1" applyFont="1" applyFill="1" applyBorder="1" applyAlignment="1">
      <alignment horizontal="right" vertical="center"/>
    </xf>
    <xf numFmtId="3" fontId="42" fillId="0" borderId="1" xfId="0" applyNumberFormat="1" applyFont="1" applyFill="1" applyBorder="1" applyAlignment="1">
      <alignment horizontal="right" vertical="center"/>
    </xf>
    <xf numFmtId="3" fontId="43" fillId="0" borderId="1" xfId="6" applyNumberFormat="1" applyFont="1" applyFill="1" applyBorder="1" applyAlignment="1" applyProtection="1">
      <alignment horizontal="right" vertical="center"/>
      <protection locked="0"/>
    </xf>
    <xf numFmtId="0" fontId="42" fillId="0" borderId="10" xfId="0" applyFont="1" applyBorder="1" applyAlignment="1">
      <alignment horizontal="left" vertical="center" wrapText="1"/>
    </xf>
    <xf numFmtId="0" fontId="42" fillId="0" borderId="10" xfId="0" applyFont="1" applyBorder="1" applyAlignment="1">
      <alignment horizontal="left" vertical="center" wrapText="1" indent="1"/>
    </xf>
    <xf numFmtId="0" fontId="42" fillId="0" borderId="10" xfId="0" applyFont="1" applyBorder="1" applyAlignment="1" applyProtection="1">
      <alignment horizontal="left" vertical="center" wrapText="1" indent="1"/>
      <protection locked="0"/>
    </xf>
    <xf numFmtId="0" fontId="42" fillId="0" borderId="1" xfId="1096" applyFont="1" applyBorder="1" applyAlignment="1">
      <alignment horizontal="left" vertical="center" wrapText="1"/>
    </xf>
    <xf numFmtId="0" fontId="42" fillId="0" borderId="1" xfId="0" applyFont="1" applyBorder="1" applyAlignment="1">
      <alignment vertical="center" wrapText="1"/>
    </xf>
    <xf numFmtId="0" fontId="56" fillId="0" borderId="1" xfId="0" applyFont="1" applyBorder="1" applyAlignment="1">
      <alignment vertical="center" wrapText="1"/>
    </xf>
    <xf numFmtId="0" fontId="57" fillId="0" borderId="1" xfId="0" applyFont="1" applyBorder="1" applyAlignment="1">
      <alignment vertical="center" wrapText="1"/>
    </xf>
    <xf numFmtId="0" fontId="42" fillId="7" borderId="30" xfId="0" applyFont="1" applyFill="1" applyBorder="1" applyAlignment="1">
      <alignment horizontal="center" vertical="center" wrapText="1"/>
    </xf>
    <xf numFmtId="0" fontId="42" fillId="7" borderId="30" xfId="0" applyFont="1" applyFill="1" applyBorder="1" applyAlignment="1">
      <alignment horizontal="left" vertical="center" wrapText="1"/>
    </xf>
    <xf numFmtId="3" fontId="42" fillId="0" borderId="6" xfId="6" applyNumberFormat="1" applyFont="1" applyBorder="1" applyAlignment="1">
      <alignment horizontal="right" vertical="center" wrapText="1"/>
    </xf>
    <xf numFmtId="3" fontId="45" fillId="0" borderId="1" xfId="0" applyNumberFormat="1" applyFont="1" applyFill="1" applyBorder="1" applyAlignment="1">
      <alignment horizontal="left" vertical="center" wrapText="1"/>
    </xf>
    <xf numFmtId="3" fontId="45" fillId="33" borderId="1" xfId="0" applyNumberFormat="1" applyFont="1" applyFill="1" applyBorder="1" applyAlignment="1">
      <alignment horizontal="left" vertical="center" wrapText="1"/>
    </xf>
    <xf numFmtId="3" fontId="44" fillId="0" borderId="1" xfId="0" applyNumberFormat="1" applyFont="1" applyFill="1" applyBorder="1" applyAlignment="1">
      <alignment horizontal="left" vertical="center" wrapText="1"/>
    </xf>
    <xf numFmtId="3" fontId="45" fillId="0" borderId="1" xfId="0" applyNumberFormat="1" applyFont="1" applyFill="1" applyBorder="1" applyAlignment="1" applyProtection="1">
      <alignment horizontal="left" vertical="center" wrapText="1"/>
      <protection locked="0"/>
    </xf>
    <xf numFmtId="3" fontId="44" fillId="33" borderId="1" xfId="0" applyNumberFormat="1" applyFont="1" applyFill="1" applyBorder="1" applyAlignment="1">
      <alignment horizontal="left" vertical="center" wrapText="1"/>
    </xf>
    <xf numFmtId="3" fontId="45" fillId="33" borderId="1" xfId="0" applyNumberFormat="1" applyFont="1" applyFill="1" applyBorder="1" applyAlignment="1" applyProtection="1">
      <alignment horizontal="left" vertical="center" wrapText="1"/>
      <protection locked="0"/>
    </xf>
    <xf numFmtId="4" fontId="44" fillId="0" borderId="1" xfId="0" applyNumberFormat="1" applyFont="1" applyFill="1" applyBorder="1" applyAlignment="1" applyProtection="1">
      <alignment horizontal="left" vertical="center"/>
      <protection locked="0"/>
    </xf>
    <xf numFmtId="3" fontId="42" fillId="0" borderId="0" xfId="0" applyNumberFormat="1" applyFont="1" applyAlignment="1" applyProtection="1">
      <alignment vertical="center"/>
    </xf>
    <xf numFmtId="3" fontId="49" fillId="34" borderId="1" xfId="6" applyNumberFormat="1" applyFont="1" applyFill="1" applyBorder="1" applyAlignment="1" applyProtection="1">
      <alignment horizontal="left" vertical="center" wrapText="1"/>
      <protection locked="0"/>
    </xf>
    <xf numFmtId="3" fontId="44" fillId="34" borderId="1" xfId="0" applyNumberFormat="1" applyFont="1" applyFill="1" applyBorder="1" applyAlignment="1" applyProtection="1">
      <alignment horizontal="left" vertical="center" wrapText="1"/>
      <protection locked="0"/>
    </xf>
    <xf numFmtId="3" fontId="58" fillId="34" borderId="1" xfId="0" applyNumberFormat="1" applyFont="1" applyFill="1" applyBorder="1" applyAlignment="1" applyProtection="1">
      <alignment horizontal="left" vertical="center" wrapText="1"/>
      <protection locked="0"/>
    </xf>
    <xf numFmtId="3" fontId="59" fillId="34" borderId="1" xfId="0" applyNumberFormat="1" applyFont="1" applyFill="1" applyBorder="1" applyAlignment="1" applyProtection="1">
      <alignment horizontal="left" vertical="center" wrapText="1"/>
      <protection locked="0"/>
    </xf>
    <xf numFmtId="3" fontId="44" fillId="34" borderId="1" xfId="6" applyNumberFormat="1" applyFont="1" applyFill="1" applyBorder="1" applyAlignment="1" applyProtection="1">
      <alignment horizontal="left" vertical="center" wrapText="1"/>
      <protection locked="0"/>
    </xf>
    <xf numFmtId="3" fontId="44" fillId="0" borderId="1" xfId="0" applyNumberFormat="1" applyFont="1" applyBorder="1" applyAlignment="1" applyProtection="1">
      <alignment horizontal="left" vertical="center" wrapText="1"/>
      <protection locked="0"/>
    </xf>
    <xf numFmtId="0" fontId="60" fillId="34" borderId="0" xfId="0" applyFont="1" applyFill="1" applyAlignment="1">
      <alignment wrapText="1"/>
    </xf>
    <xf numFmtId="3" fontId="48" fillId="2" borderId="1" xfId="0" applyNumberFormat="1" applyFont="1" applyFill="1" applyBorder="1" applyAlignment="1">
      <alignment horizontal="left" vertical="center" wrapText="1"/>
    </xf>
    <xf numFmtId="3" fontId="42" fillId="3" borderId="6" xfId="0" applyNumberFormat="1" applyFont="1" applyFill="1" applyBorder="1" applyAlignment="1" applyProtection="1">
      <alignment horizontal="right" vertical="center"/>
      <protection locked="0"/>
    </xf>
    <xf numFmtId="0" fontId="43" fillId="2" borderId="1" xfId="6" applyFont="1" applyFill="1" applyBorder="1" applyAlignment="1">
      <alignment horizontal="center" vertical="center" wrapText="1"/>
    </xf>
    <xf numFmtId="3" fontId="49" fillId="0" borderId="0" xfId="1467" applyNumberFormat="1" applyFont="1" applyFill="1" applyBorder="1" applyAlignment="1" applyProtection="1">
      <alignment vertical="center"/>
      <protection locked="0"/>
    </xf>
    <xf numFmtId="3" fontId="49" fillId="0" borderId="0" xfId="1467" applyNumberFormat="1" applyFont="1" applyFill="1" applyAlignment="1" applyProtection="1">
      <alignment vertical="center"/>
      <protection locked="0"/>
    </xf>
    <xf numFmtId="0" fontId="41" fillId="0" borderId="0" xfId="0" applyFont="1" applyFill="1" applyAlignment="1">
      <alignment vertical="center"/>
    </xf>
    <xf numFmtId="3" fontId="41" fillId="0" borderId="0" xfId="0" applyNumberFormat="1" applyFont="1" applyFill="1" applyAlignment="1">
      <alignment vertical="center"/>
    </xf>
    <xf numFmtId="0" fontId="41" fillId="0" borderId="0" xfId="0" applyFont="1" applyFill="1" applyAlignment="1" applyProtection="1">
      <alignment vertical="center"/>
    </xf>
    <xf numFmtId="3" fontId="48" fillId="2" borderId="1" xfId="1467" applyNumberFormat="1" applyFont="1" applyFill="1" applyBorder="1" applyAlignment="1" applyProtection="1">
      <alignment horizontal="center" vertical="center"/>
    </xf>
    <xf numFmtId="0" fontId="48" fillId="2" borderId="1" xfId="1467" applyFont="1" applyFill="1" applyBorder="1" applyAlignment="1" applyProtection="1">
      <alignment horizontal="center" vertical="center"/>
    </xf>
    <xf numFmtId="0" fontId="48" fillId="2" borderId="1" xfId="1467" applyFont="1" applyFill="1" applyBorder="1" applyAlignment="1" applyProtection="1">
      <alignment vertical="center" wrapText="1"/>
    </xf>
    <xf numFmtId="3" fontId="42" fillId="0" borderId="0" xfId="0" applyNumberFormat="1" applyFont="1" applyProtection="1">
      <protection locked="0"/>
    </xf>
    <xf numFmtId="3" fontId="59" fillId="34" borderId="1" xfId="0" applyNumberFormat="1" applyFont="1" applyFill="1" applyBorder="1" applyAlignment="1">
      <alignment horizontal="left" vertical="center" wrapText="1"/>
    </xf>
    <xf numFmtId="3" fontId="42" fillId="0" borderId="0" xfId="0" applyNumberFormat="1" applyFont="1" applyAlignment="1">
      <alignment horizontal="left" vertical="center" wrapText="1"/>
    </xf>
    <xf numFmtId="16" fontId="43" fillId="3" borderId="16" xfId="6" applyNumberFormat="1" applyFont="1" applyFill="1" applyBorder="1" applyAlignment="1" applyProtection="1">
      <alignment horizontal="left" vertical="center" wrapText="1"/>
    </xf>
    <xf numFmtId="0" fontId="42" fillId="0" borderId="0" xfId="0" applyFont="1" applyAlignment="1" applyProtection="1">
      <alignment horizontal="left" vertical="center" wrapText="1"/>
    </xf>
    <xf numFmtId="0" fontId="42" fillId="0" borderId="0" xfId="0" applyFont="1" applyAlignment="1">
      <alignment horizontal="left" vertical="center" wrapText="1"/>
    </xf>
    <xf numFmtId="0" fontId="42" fillId="0" borderId="0" xfId="1467" applyFont="1" applyFill="1" applyAlignment="1" applyProtection="1">
      <alignment horizontal="left" vertical="center" wrapText="1"/>
    </xf>
    <xf numFmtId="0" fontId="42" fillId="0" borderId="14" xfId="6" applyFont="1" applyBorder="1" applyAlignment="1">
      <alignment horizontal="left" vertical="center" wrapText="1"/>
    </xf>
    <xf numFmtId="0" fontId="42" fillId="0" borderId="0" xfId="6" applyFont="1" applyAlignment="1">
      <alignment horizontal="left" vertical="center" wrapText="1"/>
    </xf>
    <xf numFmtId="0" fontId="42" fillId="0" borderId="14" xfId="6" applyFont="1" applyBorder="1" applyAlignment="1">
      <alignment horizontal="left" vertical="center"/>
    </xf>
    <xf numFmtId="0" fontId="42" fillId="0" borderId="0" xfId="6" applyFont="1" applyAlignment="1">
      <alignment horizontal="left" vertical="center"/>
    </xf>
    <xf numFmtId="0" fontId="42" fillId="0" borderId="15" xfId="6" applyFont="1" applyBorder="1" applyAlignment="1">
      <alignment horizontal="left" vertical="center" wrapText="1"/>
    </xf>
  </cellXfs>
  <cellStyles count="1490">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0] 2 2" xfId="1473" xr:uid="{00000000-0005-0000-0000-00008F030000}"/>
    <cellStyle name="Comma 2" xfId="924" xr:uid="{00000000-0005-0000-0000-000090030000}"/>
    <cellStyle name="Comma 2 2" xfId="925" xr:uid="{00000000-0005-0000-0000-000091030000}"/>
    <cellStyle name="Comma 2 3" xfId="926" xr:uid="{00000000-0005-0000-0000-000092030000}"/>
    <cellStyle name="Comma 2 4" xfId="927" xr:uid="{00000000-0005-0000-0000-000093030000}"/>
    <cellStyle name="Comma 2 4 2" xfId="928" xr:uid="{00000000-0005-0000-0000-000094030000}"/>
    <cellStyle name="Comma 2 5" xfId="929" xr:uid="{00000000-0005-0000-0000-000095030000}"/>
    <cellStyle name="Comma 2 5 2" xfId="930" xr:uid="{00000000-0005-0000-0000-000096030000}"/>
    <cellStyle name="Comma 2 6" xfId="931" xr:uid="{00000000-0005-0000-0000-000097030000}"/>
    <cellStyle name="Comma 2 7" xfId="932" xr:uid="{00000000-0005-0000-0000-000098030000}"/>
    <cellStyle name="Comma 3" xfId="933" xr:uid="{00000000-0005-0000-0000-000099030000}"/>
    <cellStyle name="Comma 3 2" xfId="934" xr:uid="{00000000-0005-0000-0000-00009A030000}"/>
    <cellStyle name="Comma 3 2 2" xfId="1475" xr:uid="{00000000-0005-0000-0000-00009B030000}"/>
    <cellStyle name="Comma 3 3" xfId="1474" xr:uid="{00000000-0005-0000-0000-00009C030000}"/>
    <cellStyle name="Comma 4" xfId="9" xr:uid="{00000000-0005-0000-0000-00009D030000}"/>
    <cellStyle name="Comma 4 2" xfId="936" xr:uid="{00000000-0005-0000-0000-00009E030000}"/>
    <cellStyle name="Comma 4 2 2" xfId="1477" xr:uid="{00000000-0005-0000-0000-00009F030000}"/>
    <cellStyle name="Comma 4 3" xfId="935" xr:uid="{00000000-0005-0000-0000-0000A0030000}"/>
    <cellStyle name="Comma 4 3 2" xfId="1476" xr:uid="{00000000-0005-0000-0000-0000A1030000}"/>
    <cellStyle name="Comma 4 4" xfId="1472" xr:uid="{00000000-0005-0000-0000-0000A2030000}"/>
    <cellStyle name="Comma 5" xfId="1465" xr:uid="{00000000-0005-0000-0000-0000A3030000}"/>
    <cellStyle name="Comma 5 2" xfId="1489" xr:uid="{00000000-0005-0000-0000-0000A4030000}"/>
    <cellStyle name="Comma 6" xfId="1459" xr:uid="{00000000-0005-0000-0000-0000A5030000}"/>
    <cellStyle name="Comma 6 2" xfId="1484" xr:uid="{00000000-0005-0000-0000-0000A6030000}"/>
    <cellStyle name="Currency 2" xfId="1464" xr:uid="{00000000-0005-0000-0000-0000A7030000}"/>
    <cellStyle name="Currency 2 2" xfId="1488" xr:uid="{00000000-0005-0000-0000-0000A8030000}"/>
    <cellStyle name="Currency 3" xfId="1463" xr:uid="{00000000-0005-0000-0000-0000A9030000}"/>
    <cellStyle name="Currency 3 2" xfId="1487" xr:uid="{00000000-0005-0000-0000-0000AA030000}"/>
    <cellStyle name="Currency 4" xfId="1460" xr:uid="{00000000-0005-0000-0000-0000AB030000}"/>
    <cellStyle name="Explanatory Text 10" xfId="937" xr:uid="{00000000-0005-0000-0000-0000AC030000}"/>
    <cellStyle name="Explanatory Text 11" xfId="938" xr:uid="{00000000-0005-0000-0000-0000AD030000}"/>
    <cellStyle name="Explanatory Text 12" xfId="939" xr:uid="{00000000-0005-0000-0000-0000AE030000}"/>
    <cellStyle name="Explanatory Text 13" xfId="940" xr:uid="{00000000-0005-0000-0000-0000AF030000}"/>
    <cellStyle name="Explanatory Text 14" xfId="941" xr:uid="{00000000-0005-0000-0000-0000B0030000}"/>
    <cellStyle name="Explanatory Text 15" xfId="942" xr:uid="{00000000-0005-0000-0000-0000B1030000}"/>
    <cellStyle name="Explanatory Text 16" xfId="943" xr:uid="{00000000-0005-0000-0000-0000B2030000}"/>
    <cellStyle name="Explanatory Text 2" xfId="944" xr:uid="{00000000-0005-0000-0000-0000B3030000}"/>
    <cellStyle name="Explanatory Text 3" xfId="945" xr:uid="{00000000-0005-0000-0000-0000B4030000}"/>
    <cellStyle name="Explanatory Text 4" xfId="946" xr:uid="{00000000-0005-0000-0000-0000B5030000}"/>
    <cellStyle name="Explanatory Text 5" xfId="947" xr:uid="{00000000-0005-0000-0000-0000B6030000}"/>
    <cellStyle name="Explanatory Text 6" xfId="948" xr:uid="{00000000-0005-0000-0000-0000B7030000}"/>
    <cellStyle name="Explanatory Text 7" xfId="949" xr:uid="{00000000-0005-0000-0000-0000B8030000}"/>
    <cellStyle name="Explanatory Text 8" xfId="950" xr:uid="{00000000-0005-0000-0000-0000B9030000}"/>
    <cellStyle name="Explanatory Text 9" xfId="951" xr:uid="{00000000-0005-0000-0000-0000BA030000}"/>
    <cellStyle name="Good 10" xfId="952" xr:uid="{00000000-0005-0000-0000-0000BB030000}"/>
    <cellStyle name="Good 11" xfId="953" xr:uid="{00000000-0005-0000-0000-0000BC030000}"/>
    <cellStyle name="Good 12" xfId="954" xr:uid="{00000000-0005-0000-0000-0000BD030000}"/>
    <cellStyle name="Good 13" xfId="955" xr:uid="{00000000-0005-0000-0000-0000BE030000}"/>
    <cellStyle name="Good 14" xfId="956" xr:uid="{00000000-0005-0000-0000-0000BF030000}"/>
    <cellStyle name="Good 15" xfId="957" xr:uid="{00000000-0005-0000-0000-0000C0030000}"/>
    <cellStyle name="Good 16" xfId="958" xr:uid="{00000000-0005-0000-0000-0000C1030000}"/>
    <cellStyle name="Good 2" xfId="959" xr:uid="{00000000-0005-0000-0000-0000C2030000}"/>
    <cellStyle name="Good 3" xfId="960" xr:uid="{00000000-0005-0000-0000-0000C3030000}"/>
    <cellStyle name="Good 4" xfId="961" xr:uid="{00000000-0005-0000-0000-0000C4030000}"/>
    <cellStyle name="Good 5" xfId="962" xr:uid="{00000000-0005-0000-0000-0000C5030000}"/>
    <cellStyle name="Good 6" xfId="963" xr:uid="{00000000-0005-0000-0000-0000C6030000}"/>
    <cellStyle name="Good 7" xfId="964" xr:uid="{00000000-0005-0000-0000-0000C7030000}"/>
    <cellStyle name="Good 8" xfId="965" xr:uid="{00000000-0005-0000-0000-0000C8030000}"/>
    <cellStyle name="Good 9" xfId="966" xr:uid="{00000000-0005-0000-0000-0000C9030000}"/>
    <cellStyle name="Heading 1 10" xfId="967" xr:uid="{00000000-0005-0000-0000-0000CA030000}"/>
    <cellStyle name="Heading 1 11" xfId="968" xr:uid="{00000000-0005-0000-0000-0000CB030000}"/>
    <cellStyle name="Heading 1 12" xfId="969" xr:uid="{00000000-0005-0000-0000-0000CC030000}"/>
    <cellStyle name="Heading 1 13" xfId="970" xr:uid="{00000000-0005-0000-0000-0000CD030000}"/>
    <cellStyle name="Heading 1 14" xfId="971" xr:uid="{00000000-0005-0000-0000-0000CE030000}"/>
    <cellStyle name="Heading 1 15" xfId="972" xr:uid="{00000000-0005-0000-0000-0000CF030000}"/>
    <cellStyle name="Heading 1 16" xfId="973" xr:uid="{00000000-0005-0000-0000-0000D0030000}"/>
    <cellStyle name="Heading 1 2" xfId="974" xr:uid="{00000000-0005-0000-0000-0000D1030000}"/>
    <cellStyle name="Heading 1 3" xfId="975" xr:uid="{00000000-0005-0000-0000-0000D2030000}"/>
    <cellStyle name="Heading 1 4" xfId="976" xr:uid="{00000000-0005-0000-0000-0000D3030000}"/>
    <cellStyle name="Heading 1 5" xfId="977" xr:uid="{00000000-0005-0000-0000-0000D4030000}"/>
    <cellStyle name="Heading 1 6" xfId="978" xr:uid="{00000000-0005-0000-0000-0000D5030000}"/>
    <cellStyle name="Heading 1 7" xfId="979" xr:uid="{00000000-0005-0000-0000-0000D6030000}"/>
    <cellStyle name="Heading 1 8" xfId="980" xr:uid="{00000000-0005-0000-0000-0000D7030000}"/>
    <cellStyle name="Heading 1 9" xfId="981" xr:uid="{00000000-0005-0000-0000-0000D8030000}"/>
    <cellStyle name="Heading 2 10" xfId="982" xr:uid="{00000000-0005-0000-0000-0000D9030000}"/>
    <cellStyle name="Heading 2 11" xfId="983" xr:uid="{00000000-0005-0000-0000-0000DA030000}"/>
    <cellStyle name="Heading 2 12" xfId="984" xr:uid="{00000000-0005-0000-0000-0000DB030000}"/>
    <cellStyle name="Heading 2 13" xfId="985" xr:uid="{00000000-0005-0000-0000-0000DC030000}"/>
    <cellStyle name="Heading 2 14" xfId="986" xr:uid="{00000000-0005-0000-0000-0000DD030000}"/>
    <cellStyle name="Heading 2 15" xfId="987" xr:uid="{00000000-0005-0000-0000-0000DE030000}"/>
    <cellStyle name="Heading 2 16" xfId="988" xr:uid="{00000000-0005-0000-0000-0000DF030000}"/>
    <cellStyle name="Heading 2 2" xfId="989" xr:uid="{00000000-0005-0000-0000-0000E0030000}"/>
    <cellStyle name="Heading 2 3" xfId="990" xr:uid="{00000000-0005-0000-0000-0000E1030000}"/>
    <cellStyle name="Heading 2 4" xfId="991" xr:uid="{00000000-0005-0000-0000-0000E2030000}"/>
    <cellStyle name="Heading 2 5" xfId="992" xr:uid="{00000000-0005-0000-0000-0000E3030000}"/>
    <cellStyle name="Heading 2 6" xfId="993" xr:uid="{00000000-0005-0000-0000-0000E4030000}"/>
    <cellStyle name="Heading 2 7" xfId="994" xr:uid="{00000000-0005-0000-0000-0000E5030000}"/>
    <cellStyle name="Heading 2 8" xfId="995" xr:uid="{00000000-0005-0000-0000-0000E6030000}"/>
    <cellStyle name="Heading 2 9" xfId="996" xr:uid="{00000000-0005-0000-0000-0000E7030000}"/>
    <cellStyle name="Heading 3 10" xfId="997" xr:uid="{00000000-0005-0000-0000-0000E8030000}"/>
    <cellStyle name="Heading 3 11" xfId="998" xr:uid="{00000000-0005-0000-0000-0000E9030000}"/>
    <cellStyle name="Heading 3 12" xfId="999" xr:uid="{00000000-0005-0000-0000-0000EA030000}"/>
    <cellStyle name="Heading 3 13" xfId="1000" xr:uid="{00000000-0005-0000-0000-0000EB030000}"/>
    <cellStyle name="Heading 3 14" xfId="1001" xr:uid="{00000000-0005-0000-0000-0000EC030000}"/>
    <cellStyle name="Heading 3 15" xfId="1002" xr:uid="{00000000-0005-0000-0000-0000ED030000}"/>
    <cellStyle name="Heading 3 16" xfId="1003" xr:uid="{00000000-0005-0000-0000-0000EE030000}"/>
    <cellStyle name="Heading 3 2" xfId="1004" xr:uid="{00000000-0005-0000-0000-0000EF030000}"/>
    <cellStyle name="Heading 3 3" xfId="1005" xr:uid="{00000000-0005-0000-0000-0000F0030000}"/>
    <cellStyle name="Heading 3 4" xfId="1006" xr:uid="{00000000-0005-0000-0000-0000F1030000}"/>
    <cellStyle name="Heading 3 5" xfId="1007" xr:uid="{00000000-0005-0000-0000-0000F2030000}"/>
    <cellStyle name="Heading 3 6" xfId="1008" xr:uid="{00000000-0005-0000-0000-0000F3030000}"/>
    <cellStyle name="Heading 3 7" xfId="1009" xr:uid="{00000000-0005-0000-0000-0000F4030000}"/>
    <cellStyle name="Heading 3 8" xfId="1010" xr:uid="{00000000-0005-0000-0000-0000F5030000}"/>
    <cellStyle name="Heading 3 9" xfId="1011" xr:uid="{00000000-0005-0000-0000-0000F6030000}"/>
    <cellStyle name="Heading 4 10" xfId="1012" xr:uid="{00000000-0005-0000-0000-0000F7030000}"/>
    <cellStyle name="Heading 4 11" xfId="1013" xr:uid="{00000000-0005-0000-0000-0000F8030000}"/>
    <cellStyle name="Heading 4 12" xfId="1014" xr:uid="{00000000-0005-0000-0000-0000F9030000}"/>
    <cellStyle name="Heading 4 13" xfId="1015" xr:uid="{00000000-0005-0000-0000-0000FA030000}"/>
    <cellStyle name="Heading 4 14" xfId="1016" xr:uid="{00000000-0005-0000-0000-0000FB030000}"/>
    <cellStyle name="Heading 4 15" xfId="1017" xr:uid="{00000000-0005-0000-0000-0000FC030000}"/>
    <cellStyle name="Heading 4 16" xfId="1018" xr:uid="{00000000-0005-0000-0000-0000FD030000}"/>
    <cellStyle name="Heading 4 2" xfId="1019" xr:uid="{00000000-0005-0000-0000-0000FE030000}"/>
    <cellStyle name="Heading 4 3" xfId="1020" xr:uid="{00000000-0005-0000-0000-0000FF030000}"/>
    <cellStyle name="Heading 4 4" xfId="1021" xr:uid="{00000000-0005-0000-0000-000000040000}"/>
    <cellStyle name="Heading 4 5" xfId="1022" xr:uid="{00000000-0005-0000-0000-000001040000}"/>
    <cellStyle name="Heading 4 6" xfId="1023" xr:uid="{00000000-0005-0000-0000-000002040000}"/>
    <cellStyle name="Heading 4 7" xfId="1024" xr:uid="{00000000-0005-0000-0000-000003040000}"/>
    <cellStyle name="Heading 4 8" xfId="1025" xr:uid="{00000000-0005-0000-0000-000004040000}"/>
    <cellStyle name="Heading 4 9" xfId="1026" xr:uid="{00000000-0005-0000-0000-000005040000}"/>
    <cellStyle name="Hyperlink 2" xfId="1027" xr:uid="{00000000-0005-0000-0000-000006040000}"/>
    <cellStyle name="Hyperlink 3" xfId="1028" xr:uid="{00000000-0005-0000-0000-000007040000}"/>
    <cellStyle name="Input 10" xfId="1029" xr:uid="{00000000-0005-0000-0000-000008040000}"/>
    <cellStyle name="Input 11" xfId="1030" xr:uid="{00000000-0005-0000-0000-000009040000}"/>
    <cellStyle name="Input 12" xfId="1031" xr:uid="{00000000-0005-0000-0000-00000A040000}"/>
    <cellStyle name="Input 13" xfId="1032" xr:uid="{00000000-0005-0000-0000-00000B040000}"/>
    <cellStyle name="Input 14" xfId="1033" xr:uid="{00000000-0005-0000-0000-00000C040000}"/>
    <cellStyle name="Input 15" xfId="1034" xr:uid="{00000000-0005-0000-0000-00000D040000}"/>
    <cellStyle name="Input 16" xfId="1035" xr:uid="{00000000-0005-0000-0000-00000E040000}"/>
    <cellStyle name="Input 2" xfId="1036" xr:uid="{00000000-0005-0000-0000-00000F040000}"/>
    <cellStyle name="Input 3" xfId="1037" xr:uid="{00000000-0005-0000-0000-000010040000}"/>
    <cellStyle name="Input 4" xfId="1038" xr:uid="{00000000-0005-0000-0000-000011040000}"/>
    <cellStyle name="Input 5" xfId="1039" xr:uid="{00000000-0005-0000-0000-000012040000}"/>
    <cellStyle name="Input 6" xfId="1040" xr:uid="{00000000-0005-0000-0000-000013040000}"/>
    <cellStyle name="Input 7" xfId="1041" xr:uid="{00000000-0005-0000-0000-000014040000}"/>
    <cellStyle name="Input 8" xfId="1042" xr:uid="{00000000-0005-0000-0000-000015040000}"/>
    <cellStyle name="Input 9" xfId="1043" xr:uid="{00000000-0005-0000-0000-000016040000}"/>
    <cellStyle name="Linked Cell 10" xfId="1044" xr:uid="{00000000-0005-0000-0000-000017040000}"/>
    <cellStyle name="Linked Cell 11" xfId="1045" xr:uid="{00000000-0005-0000-0000-000018040000}"/>
    <cellStyle name="Linked Cell 12" xfId="1046" xr:uid="{00000000-0005-0000-0000-000019040000}"/>
    <cellStyle name="Linked Cell 13" xfId="1047" xr:uid="{00000000-0005-0000-0000-00001A040000}"/>
    <cellStyle name="Linked Cell 14" xfId="1048" xr:uid="{00000000-0005-0000-0000-00001B040000}"/>
    <cellStyle name="Linked Cell 15" xfId="1049" xr:uid="{00000000-0005-0000-0000-00001C040000}"/>
    <cellStyle name="Linked Cell 16" xfId="1050" xr:uid="{00000000-0005-0000-0000-00001D040000}"/>
    <cellStyle name="Linked Cell 2" xfId="1051" xr:uid="{00000000-0005-0000-0000-00001E040000}"/>
    <cellStyle name="Linked Cell 3" xfId="1052" xr:uid="{00000000-0005-0000-0000-00001F040000}"/>
    <cellStyle name="Linked Cell 4" xfId="1053" xr:uid="{00000000-0005-0000-0000-000020040000}"/>
    <cellStyle name="Linked Cell 5" xfId="1054" xr:uid="{00000000-0005-0000-0000-000021040000}"/>
    <cellStyle name="Linked Cell 6" xfId="1055" xr:uid="{00000000-0005-0000-0000-000022040000}"/>
    <cellStyle name="Linked Cell 7" xfId="1056" xr:uid="{00000000-0005-0000-0000-000023040000}"/>
    <cellStyle name="Linked Cell 8" xfId="1057" xr:uid="{00000000-0005-0000-0000-000024040000}"/>
    <cellStyle name="Linked Cell 9" xfId="1058" xr:uid="{00000000-0005-0000-0000-000025040000}"/>
    <cellStyle name="Neutral 10" xfId="1059" xr:uid="{00000000-0005-0000-0000-000026040000}"/>
    <cellStyle name="Neutral 11" xfId="1060" xr:uid="{00000000-0005-0000-0000-000027040000}"/>
    <cellStyle name="Neutral 12" xfId="1061" xr:uid="{00000000-0005-0000-0000-000028040000}"/>
    <cellStyle name="Neutral 13" xfId="1062" xr:uid="{00000000-0005-0000-0000-000029040000}"/>
    <cellStyle name="Neutral 14" xfId="1063" xr:uid="{00000000-0005-0000-0000-00002A040000}"/>
    <cellStyle name="Neutral 15" xfId="1064" xr:uid="{00000000-0005-0000-0000-00002B040000}"/>
    <cellStyle name="Neutral 16" xfId="1065" xr:uid="{00000000-0005-0000-0000-00002C040000}"/>
    <cellStyle name="Neutral 2" xfId="1066" xr:uid="{00000000-0005-0000-0000-00002D040000}"/>
    <cellStyle name="Neutral 3" xfId="1067" xr:uid="{00000000-0005-0000-0000-00002E040000}"/>
    <cellStyle name="Neutral 4" xfId="1068" xr:uid="{00000000-0005-0000-0000-00002F040000}"/>
    <cellStyle name="Neutral 5" xfId="1069" xr:uid="{00000000-0005-0000-0000-000030040000}"/>
    <cellStyle name="Neutral 6" xfId="1070" xr:uid="{00000000-0005-0000-0000-000031040000}"/>
    <cellStyle name="Neutral 7" xfId="1071" xr:uid="{00000000-0005-0000-0000-000032040000}"/>
    <cellStyle name="Neutral 8" xfId="1072" xr:uid="{00000000-0005-0000-0000-000033040000}"/>
    <cellStyle name="Neutral 9" xfId="1073" xr:uid="{00000000-0005-0000-0000-000034040000}"/>
    <cellStyle name="Normal 10" xfId="1074" xr:uid="{00000000-0005-0000-0000-000036040000}"/>
    <cellStyle name="Normal 10 2" xfId="1" xr:uid="{00000000-0005-0000-0000-000037040000}"/>
    <cellStyle name="Normal 10 2 2" xfId="1075" xr:uid="{00000000-0005-0000-0000-000038040000}"/>
    <cellStyle name="Normal 10 3" xfId="1076" xr:uid="{00000000-0005-0000-0000-000039040000}"/>
    <cellStyle name="Normal 10 4" xfId="1077" xr:uid="{00000000-0005-0000-0000-00003A040000}"/>
    <cellStyle name="Normal 10 5" xfId="1078" xr:uid="{00000000-0005-0000-0000-00003B040000}"/>
    <cellStyle name="Normal 10 5 2" xfId="1079" xr:uid="{00000000-0005-0000-0000-00003C040000}"/>
    <cellStyle name="Normal 10 5 2 2" xfId="1080" xr:uid="{00000000-0005-0000-0000-00003D040000}"/>
    <cellStyle name="Normal 10 5 3" xfId="1081" xr:uid="{00000000-0005-0000-0000-00003E040000}"/>
    <cellStyle name="Normal 10 6" xfId="1082" xr:uid="{00000000-0005-0000-0000-00003F040000}"/>
    <cellStyle name="Normal 10 6 2" xfId="1083" xr:uid="{00000000-0005-0000-0000-000040040000}"/>
    <cellStyle name="Normal 10 7" xfId="1084" xr:uid="{00000000-0005-0000-0000-000041040000}"/>
    <cellStyle name="Normal 11" xfId="1085" xr:uid="{00000000-0005-0000-0000-000042040000}"/>
    <cellStyle name="Normal 12" xfId="1086" xr:uid="{00000000-0005-0000-0000-000043040000}"/>
    <cellStyle name="Normal 12 2" xfId="1087" xr:uid="{00000000-0005-0000-0000-000044040000}"/>
    <cellStyle name="Normal 12 2 2" xfId="1088" xr:uid="{00000000-0005-0000-0000-000045040000}"/>
    <cellStyle name="Normal 13" xfId="2" xr:uid="{00000000-0005-0000-0000-000046040000}"/>
    <cellStyle name="Normal 14" xfId="1089" xr:uid="{00000000-0005-0000-0000-000047040000}"/>
    <cellStyle name="Normal 14 2" xfId="1090" xr:uid="{00000000-0005-0000-0000-000048040000}"/>
    <cellStyle name="Normal 15" xfId="1091" xr:uid="{00000000-0005-0000-0000-000049040000}"/>
    <cellStyle name="Normal 16" xfId="1092" xr:uid="{00000000-0005-0000-0000-00004A040000}"/>
    <cellStyle name="Normal 17" xfId="1093" xr:uid="{00000000-0005-0000-0000-00004B040000}"/>
    <cellStyle name="Normal 18" xfId="1094" xr:uid="{00000000-0005-0000-0000-00004C040000}"/>
    <cellStyle name="Normal 19" xfId="1095" xr:uid="{00000000-0005-0000-0000-00004D040000}"/>
    <cellStyle name="Normal 2" xfId="1096" xr:uid="{00000000-0005-0000-0000-00004E040000}"/>
    <cellStyle name="Normal 2 10" xfId="4" xr:uid="{00000000-0005-0000-0000-00004F040000}"/>
    <cellStyle name="Normal 2 10 2" xfId="1098" xr:uid="{00000000-0005-0000-0000-000050040000}"/>
    <cellStyle name="Normal 2 10 3" xfId="1099" xr:uid="{00000000-0005-0000-0000-000051040000}"/>
    <cellStyle name="Normal 2 10 4" xfId="1100" xr:uid="{00000000-0005-0000-0000-000052040000}"/>
    <cellStyle name="Normal 2 10 5" xfId="1097" xr:uid="{00000000-0005-0000-0000-000053040000}"/>
    <cellStyle name="Normal 2 10 5 2" xfId="1478" xr:uid="{00000000-0005-0000-0000-000054040000}"/>
    <cellStyle name="Normal 2 10 6" xfId="1469" xr:uid="{00000000-0005-0000-0000-000055040000}"/>
    <cellStyle name="Normal 2 10 9" xfId="3" xr:uid="{00000000-0005-0000-0000-000056040000}"/>
    <cellStyle name="Normal 2 10 9 2" xfId="1102" xr:uid="{00000000-0005-0000-0000-000057040000}"/>
    <cellStyle name="Normal 2 10 9 3" xfId="1101" xr:uid="{00000000-0005-0000-0000-000058040000}"/>
    <cellStyle name="Normal 2 10 9 3 2" xfId="1479" xr:uid="{00000000-0005-0000-0000-000059040000}"/>
    <cellStyle name="Normal 2 10 9 4" xfId="1468" xr:uid="{00000000-0005-0000-0000-00005A040000}"/>
    <cellStyle name="Normal 2 11" xfId="1103" xr:uid="{00000000-0005-0000-0000-00005B040000}"/>
    <cellStyle name="Normal 2 11 2" xfId="1104" xr:uid="{00000000-0005-0000-0000-00005C040000}"/>
    <cellStyle name="Normal 2 12" xfId="1105" xr:uid="{00000000-0005-0000-0000-00005D040000}"/>
    <cellStyle name="Normal 2 13" xfId="1106" xr:uid="{00000000-0005-0000-0000-00005E040000}"/>
    <cellStyle name="Normal 2 13 10" xfId="1107" xr:uid="{00000000-0005-0000-0000-00005F040000}"/>
    <cellStyle name="Normal 2 13 11" xfId="1108" xr:uid="{00000000-0005-0000-0000-000060040000}"/>
    <cellStyle name="Normal 2 13 12" xfId="1109" xr:uid="{00000000-0005-0000-0000-000061040000}"/>
    <cellStyle name="Normal 2 13 13" xfId="1110" xr:uid="{00000000-0005-0000-0000-000062040000}"/>
    <cellStyle name="Normal 2 13 2" xfId="1111" xr:uid="{00000000-0005-0000-0000-000063040000}"/>
    <cellStyle name="Normal 2 13 2 10" xfId="1112" xr:uid="{00000000-0005-0000-0000-000064040000}"/>
    <cellStyle name="Normal 2 13 2 11" xfId="1113" xr:uid="{00000000-0005-0000-0000-000065040000}"/>
    <cellStyle name="Normal 2 13 2 12" xfId="1114" xr:uid="{00000000-0005-0000-0000-000066040000}"/>
    <cellStyle name="Normal 2 13 2 13" xfId="1115" xr:uid="{00000000-0005-0000-0000-000067040000}"/>
    <cellStyle name="Normal 2 13 2 2" xfId="1116" xr:uid="{00000000-0005-0000-0000-000068040000}"/>
    <cellStyle name="Normal 2 13 2 3" xfId="1117" xr:uid="{00000000-0005-0000-0000-000069040000}"/>
    <cellStyle name="Normal 2 13 2 4" xfId="1118" xr:uid="{00000000-0005-0000-0000-00006A040000}"/>
    <cellStyle name="Normal 2 13 2 5" xfId="1119" xr:uid="{00000000-0005-0000-0000-00006B040000}"/>
    <cellStyle name="Normal 2 13 2 6" xfId="1120" xr:uid="{00000000-0005-0000-0000-00006C040000}"/>
    <cellStyle name="Normal 2 13 2 7" xfId="1121" xr:uid="{00000000-0005-0000-0000-00006D040000}"/>
    <cellStyle name="Normal 2 13 2 8" xfId="1122" xr:uid="{00000000-0005-0000-0000-00006E040000}"/>
    <cellStyle name="Normal 2 13 2 9" xfId="1123" xr:uid="{00000000-0005-0000-0000-00006F040000}"/>
    <cellStyle name="Normal 2 13 3" xfId="1124" xr:uid="{00000000-0005-0000-0000-000070040000}"/>
    <cellStyle name="Normal 2 13 4" xfId="1125" xr:uid="{00000000-0005-0000-0000-000071040000}"/>
    <cellStyle name="Normal 2 13 5" xfId="1126" xr:uid="{00000000-0005-0000-0000-000072040000}"/>
    <cellStyle name="Normal 2 13 6" xfId="1127" xr:uid="{00000000-0005-0000-0000-000073040000}"/>
    <cellStyle name="Normal 2 13 7" xfId="1128" xr:uid="{00000000-0005-0000-0000-000074040000}"/>
    <cellStyle name="Normal 2 13 8" xfId="1129" xr:uid="{00000000-0005-0000-0000-000075040000}"/>
    <cellStyle name="Normal 2 13 9" xfId="1130" xr:uid="{00000000-0005-0000-0000-000076040000}"/>
    <cellStyle name="Normal 2 14" xfId="1131" xr:uid="{00000000-0005-0000-0000-000077040000}"/>
    <cellStyle name="Normal 2 15" xfId="1132" xr:uid="{00000000-0005-0000-0000-000078040000}"/>
    <cellStyle name="Normal 2 16" xfId="1133" xr:uid="{00000000-0005-0000-0000-000079040000}"/>
    <cellStyle name="Normal 2 17" xfId="1134" xr:uid="{00000000-0005-0000-0000-00007A040000}"/>
    <cellStyle name="Normal 2 18" xfId="1135" xr:uid="{00000000-0005-0000-0000-00007B040000}"/>
    <cellStyle name="Normal 2 19" xfId="1136" xr:uid="{00000000-0005-0000-0000-00007C040000}"/>
    <cellStyle name="Normal 2 2" xfId="1137" xr:uid="{00000000-0005-0000-0000-00007D040000}"/>
    <cellStyle name="Normal 2 2 10" xfId="1138" xr:uid="{00000000-0005-0000-0000-00007E040000}"/>
    <cellStyle name="Normal 2 2 10 2" xfId="1139" xr:uid="{00000000-0005-0000-0000-00007F040000}"/>
    <cellStyle name="Normal 2 2 11" xfId="1140" xr:uid="{00000000-0005-0000-0000-000080040000}"/>
    <cellStyle name="Normal 2 2 11 2" xfId="1141" xr:uid="{00000000-0005-0000-0000-000081040000}"/>
    <cellStyle name="Normal 2 2 12" xfId="1142" xr:uid="{00000000-0005-0000-0000-000082040000}"/>
    <cellStyle name="Normal 2 2 12 2" xfId="1143" xr:uid="{00000000-0005-0000-0000-000083040000}"/>
    <cellStyle name="Normal 2 2 13" xfId="1144" xr:uid="{00000000-0005-0000-0000-000084040000}"/>
    <cellStyle name="Normal 2 2 13 2" xfId="1145" xr:uid="{00000000-0005-0000-0000-000085040000}"/>
    <cellStyle name="Normal 2 2 14" xfId="1146" xr:uid="{00000000-0005-0000-0000-000086040000}"/>
    <cellStyle name="Normal 2 2 14 2" xfId="1147" xr:uid="{00000000-0005-0000-0000-000087040000}"/>
    <cellStyle name="Normal 2 2 15" xfId="1148" xr:uid="{00000000-0005-0000-0000-000088040000}"/>
    <cellStyle name="Normal 2 2 15 2" xfId="1149" xr:uid="{00000000-0005-0000-0000-000089040000}"/>
    <cellStyle name="Normal 2 2 16" xfId="1150" xr:uid="{00000000-0005-0000-0000-00008A040000}"/>
    <cellStyle name="Normal 2 2 16 2" xfId="1151" xr:uid="{00000000-0005-0000-0000-00008B040000}"/>
    <cellStyle name="Normal 2 2 17" xfId="1152" xr:uid="{00000000-0005-0000-0000-00008C040000}"/>
    <cellStyle name="Normal 2 2 17 2" xfId="1153" xr:uid="{00000000-0005-0000-0000-00008D040000}"/>
    <cellStyle name="Normal 2 2 18" xfId="1154" xr:uid="{00000000-0005-0000-0000-00008E040000}"/>
    <cellStyle name="Normal 2 2 18 2" xfId="1155" xr:uid="{00000000-0005-0000-0000-00008F040000}"/>
    <cellStyle name="Normal 2 2 19" xfId="1156" xr:uid="{00000000-0005-0000-0000-000090040000}"/>
    <cellStyle name="Normal 2 2 19 2" xfId="1157" xr:uid="{00000000-0005-0000-0000-000091040000}"/>
    <cellStyle name="Normal 2 2 2" xfId="1158" xr:uid="{00000000-0005-0000-0000-000092040000}"/>
    <cellStyle name="Normal 2 2 2 2" xfId="1159" xr:uid="{00000000-0005-0000-0000-000093040000}"/>
    <cellStyle name="Normal 2 2 20" xfId="1160" xr:uid="{00000000-0005-0000-0000-000094040000}"/>
    <cellStyle name="Normal 2 2 21" xfId="1161" xr:uid="{00000000-0005-0000-0000-000095040000}"/>
    <cellStyle name="Normal 2 2 22" xfId="1162" xr:uid="{00000000-0005-0000-0000-000096040000}"/>
    <cellStyle name="Normal 2 2 3" xfId="6" xr:uid="{00000000-0005-0000-0000-000097040000}"/>
    <cellStyle name="Normal 2 2 4" xfId="1163" xr:uid="{00000000-0005-0000-0000-000098040000}"/>
    <cellStyle name="Normal 2 2 4 10" xfId="1164" xr:uid="{00000000-0005-0000-0000-000099040000}"/>
    <cellStyle name="Normal 2 2 4 11" xfId="1165" xr:uid="{00000000-0005-0000-0000-00009A040000}"/>
    <cellStyle name="Normal 2 2 4 12" xfId="1166" xr:uid="{00000000-0005-0000-0000-00009B040000}"/>
    <cellStyle name="Normal 2 2 4 13" xfId="1167" xr:uid="{00000000-0005-0000-0000-00009C040000}"/>
    <cellStyle name="Normal 2 2 4 14" xfId="1168" xr:uid="{00000000-0005-0000-0000-00009D040000}"/>
    <cellStyle name="Normal 2 2 4 2" xfId="1169" xr:uid="{00000000-0005-0000-0000-00009E040000}"/>
    <cellStyle name="Normal 2 2 4 2 10" xfId="1170" xr:uid="{00000000-0005-0000-0000-00009F040000}"/>
    <cellStyle name="Normal 2 2 4 2 10 2" xfId="1171" xr:uid="{00000000-0005-0000-0000-0000A0040000}"/>
    <cellStyle name="Normal 2 2 4 2 11" xfId="1172" xr:uid="{00000000-0005-0000-0000-0000A1040000}"/>
    <cellStyle name="Normal 2 2 4 2 11 2" xfId="1173" xr:uid="{00000000-0005-0000-0000-0000A2040000}"/>
    <cellStyle name="Normal 2 2 4 2 12" xfId="1174" xr:uid="{00000000-0005-0000-0000-0000A3040000}"/>
    <cellStyle name="Normal 2 2 4 2 12 2" xfId="1175" xr:uid="{00000000-0005-0000-0000-0000A4040000}"/>
    <cellStyle name="Normal 2 2 4 2 13" xfId="1176" xr:uid="{00000000-0005-0000-0000-0000A5040000}"/>
    <cellStyle name="Normal 2 2 4 2 13 2" xfId="1177" xr:uid="{00000000-0005-0000-0000-0000A6040000}"/>
    <cellStyle name="Normal 2 2 4 2 2" xfId="1178" xr:uid="{00000000-0005-0000-0000-0000A7040000}"/>
    <cellStyle name="Normal 2 2 4 2 2 2" xfId="1179" xr:uid="{00000000-0005-0000-0000-0000A8040000}"/>
    <cellStyle name="Normal 2 2 4 2 3" xfId="1180" xr:uid="{00000000-0005-0000-0000-0000A9040000}"/>
    <cellStyle name="Normal 2 2 4 2 3 2" xfId="1181" xr:uid="{00000000-0005-0000-0000-0000AA040000}"/>
    <cellStyle name="Normal 2 2 4 2 4" xfId="1182" xr:uid="{00000000-0005-0000-0000-0000AB040000}"/>
    <cellStyle name="Normal 2 2 4 2 4 2" xfId="1183" xr:uid="{00000000-0005-0000-0000-0000AC040000}"/>
    <cellStyle name="Normal 2 2 4 2 5" xfId="1184" xr:uid="{00000000-0005-0000-0000-0000AD040000}"/>
    <cellStyle name="Normal 2 2 4 2 5 2" xfId="1185" xr:uid="{00000000-0005-0000-0000-0000AE040000}"/>
    <cellStyle name="Normal 2 2 4 2 6" xfId="1186" xr:uid="{00000000-0005-0000-0000-0000AF040000}"/>
    <cellStyle name="Normal 2 2 4 2 6 2" xfId="1187" xr:uid="{00000000-0005-0000-0000-0000B0040000}"/>
    <cellStyle name="Normal 2 2 4 2 7" xfId="1188" xr:uid="{00000000-0005-0000-0000-0000B1040000}"/>
    <cellStyle name="Normal 2 2 4 2 7 2" xfId="1189" xr:uid="{00000000-0005-0000-0000-0000B2040000}"/>
    <cellStyle name="Normal 2 2 4 2 8" xfId="1190" xr:uid="{00000000-0005-0000-0000-0000B3040000}"/>
    <cellStyle name="Normal 2 2 4 2 8 2" xfId="1191" xr:uid="{00000000-0005-0000-0000-0000B4040000}"/>
    <cellStyle name="Normal 2 2 4 2 9" xfId="1192" xr:uid="{00000000-0005-0000-0000-0000B5040000}"/>
    <cellStyle name="Normal 2 2 4 2 9 2" xfId="1193" xr:uid="{00000000-0005-0000-0000-0000B6040000}"/>
    <cellStyle name="Normal 2 2 4 3" xfId="1194" xr:uid="{00000000-0005-0000-0000-0000B7040000}"/>
    <cellStyle name="Normal 2 2 4 4" xfId="1195" xr:uid="{00000000-0005-0000-0000-0000B8040000}"/>
    <cellStyle name="Normal 2 2 4 5" xfId="1196" xr:uid="{00000000-0005-0000-0000-0000B9040000}"/>
    <cellStyle name="Normal 2 2 4 6" xfId="1197" xr:uid="{00000000-0005-0000-0000-0000BA040000}"/>
    <cellStyle name="Normal 2 2 4 7" xfId="1198" xr:uid="{00000000-0005-0000-0000-0000BB040000}"/>
    <cellStyle name="Normal 2 2 4 8" xfId="1199" xr:uid="{00000000-0005-0000-0000-0000BC040000}"/>
    <cellStyle name="Normal 2 2 4 9" xfId="1200" xr:uid="{00000000-0005-0000-0000-0000BD040000}"/>
    <cellStyle name="Normal 2 2 5" xfId="1201" xr:uid="{00000000-0005-0000-0000-0000BE040000}"/>
    <cellStyle name="Normal 2 2 5 2" xfId="1202" xr:uid="{00000000-0005-0000-0000-0000BF040000}"/>
    <cellStyle name="Normal 2 2 6" xfId="1203" xr:uid="{00000000-0005-0000-0000-0000C0040000}"/>
    <cellStyle name="Normal 2 2 6 2" xfId="1204" xr:uid="{00000000-0005-0000-0000-0000C1040000}"/>
    <cellStyle name="Normal 2 2 7" xfId="1205" xr:uid="{00000000-0005-0000-0000-0000C2040000}"/>
    <cellStyle name="Normal 2 2 7 2" xfId="1206" xr:uid="{00000000-0005-0000-0000-0000C3040000}"/>
    <cellStyle name="Normal 2 2 8" xfId="1207" xr:uid="{00000000-0005-0000-0000-0000C4040000}"/>
    <cellStyle name="Normal 2 2 8 2" xfId="1208" xr:uid="{00000000-0005-0000-0000-0000C5040000}"/>
    <cellStyle name="Normal 2 2 8 2 2" xfId="1209" xr:uid="{00000000-0005-0000-0000-0000C6040000}"/>
    <cellStyle name="Normal 2 2 8 3" xfId="1210" xr:uid="{00000000-0005-0000-0000-0000C7040000}"/>
    <cellStyle name="Normal 2 2 9" xfId="1211" xr:uid="{00000000-0005-0000-0000-0000C8040000}"/>
    <cellStyle name="Normal 2 2 9 2" xfId="1212" xr:uid="{00000000-0005-0000-0000-0000C9040000}"/>
    <cellStyle name="Normal 2 20" xfId="1213" xr:uid="{00000000-0005-0000-0000-0000CA040000}"/>
    <cellStyle name="Normal 2 21" xfId="1214" xr:uid="{00000000-0005-0000-0000-0000CB040000}"/>
    <cellStyle name="Normal 2 22" xfId="1215" xr:uid="{00000000-0005-0000-0000-0000CC040000}"/>
    <cellStyle name="Normal 2 23" xfId="1216" xr:uid="{00000000-0005-0000-0000-0000CD040000}"/>
    <cellStyle name="Normal 2 24" xfId="1217" xr:uid="{00000000-0005-0000-0000-0000CE040000}"/>
    <cellStyle name="Normal 2 25" xfId="1218" xr:uid="{00000000-0005-0000-0000-0000CF040000}"/>
    <cellStyle name="Normal 2 26" xfId="1219" xr:uid="{00000000-0005-0000-0000-0000D0040000}"/>
    <cellStyle name="Normal 2 27" xfId="1220" xr:uid="{00000000-0005-0000-0000-0000D1040000}"/>
    <cellStyle name="Normal 2 28" xfId="1221" xr:uid="{00000000-0005-0000-0000-0000D2040000}"/>
    <cellStyle name="Normal 2 3" xfId="1222" xr:uid="{00000000-0005-0000-0000-0000D3040000}"/>
    <cellStyle name="Normal 2 3 2" xfId="1223" xr:uid="{00000000-0005-0000-0000-0000D4040000}"/>
    <cellStyle name="Normal 2 4" xfId="10" xr:uid="{00000000-0005-0000-0000-0000D5040000}"/>
    <cellStyle name="Normal 2 5" xfId="1224" xr:uid="{00000000-0005-0000-0000-0000D6040000}"/>
    <cellStyle name="Normal 2 6" xfId="1225" xr:uid="{00000000-0005-0000-0000-0000D7040000}"/>
    <cellStyle name="Normal 2 7" xfId="1226" xr:uid="{00000000-0005-0000-0000-0000D8040000}"/>
    <cellStyle name="Normal 2 7 2" xfId="1227" xr:uid="{00000000-0005-0000-0000-0000D9040000}"/>
    <cellStyle name="Normal 2 8" xfId="1228" xr:uid="{00000000-0005-0000-0000-0000DA040000}"/>
    <cellStyle name="Normal 2 8 2" xfId="1229" xr:uid="{00000000-0005-0000-0000-0000DB040000}"/>
    <cellStyle name="Normal 2 9" xfId="1230" xr:uid="{00000000-0005-0000-0000-0000DC040000}"/>
    <cellStyle name="Normal 2 9 2" xfId="1231" xr:uid="{00000000-0005-0000-0000-0000DD040000}"/>
    <cellStyle name="Normal 2_2210_2220_2230_2240_2250_2260" xfId="1232" xr:uid="{00000000-0005-0000-0000-0000DE040000}"/>
    <cellStyle name="Normal 20" xfId="1233" xr:uid="{00000000-0005-0000-0000-0000DF040000}"/>
    <cellStyle name="Normal 21" xfId="1234" xr:uid="{00000000-0005-0000-0000-0000E0040000}"/>
    <cellStyle name="Normal 22" xfId="1235" xr:uid="{00000000-0005-0000-0000-0000E1040000}"/>
    <cellStyle name="Normal 23" xfId="1236" xr:uid="{00000000-0005-0000-0000-0000E2040000}"/>
    <cellStyle name="Normal 24" xfId="1237" xr:uid="{00000000-0005-0000-0000-0000E3040000}"/>
    <cellStyle name="Normal 25" xfId="1238" xr:uid="{00000000-0005-0000-0000-0000E4040000}"/>
    <cellStyle name="Normal 26" xfId="8" xr:uid="{00000000-0005-0000-0000-0000E5040000}"/>
    <cellStyle name="Normal 26 2" xfId="1240" xr:uid="{00000000-0005-0000-0000-0000E6040000}"/>
    <cellStyle name="Normal 26 2 2" xfId="1481" xr:uid="{00000000-0005-0000-0000-0000E7040000}"/>
    <cellStyle name="Normal 26 3" xfId="1241" xr:uid="{00000000-0005-0000-0000-0000E8040000}"/>
    <cellStyle name="Normal 26 4" xfId="1239" xr:uid="{00000000-0005-0000-0000-0000E9040000}"/>
    <cellStyle name="Normal 26 4 2" xfId="1480" xr:uid="{00000000-0005-0000-0000-0000EA040000}"/>
    <cellStyle name="Normal 26 5" xfId="1471" xr:uid="{00000000-0005-0000-0000-0000EB040000}"/>
    <cellStyle name="Normal 27" xfId="11" xr:uid="{00000000-0005-0000-0000-0000EC040000}"/>
    <cellStyle name="Normal 28" xfId="1242" xr:uid="{00000000-0005-0000-0000-0000ED040000}"/>
    <cellStyle name="Normal 29" xfId="1243" xr:uid="{00000000-0005-0000-0000-0000EE040000}"/>
    <cellStyle name="Normal 29 2" xfId="1244" xr:uid="{00000000-0005-0000-0000-0000EF040000}"/>
    <cellStyle name="Normal 3" xfId="1245" xr:uid="{00000000-0005-0000-0000-0000F0040000}"/>
    <cellStyle name="Normal 3 10" xfId="1246" xr:uid="{00000000-0005-0000-0000-0000F1040000}"/>
    <cellStyle name="Normal 3 10 2" xfId="1247" xr:uid="{00000000-0005-0000-0000-0000F2040000}"/>
    <cellStyle name="Normal 3 11" xfId="1248" xr:uid="{00000000-0005-0000-0000-0000F3040000}"/>
    <cellStyle name="Normal 3 12" xfId="1249" xr:uid="{00000000-0005-0000-0000-0000F4040000}"/>
    <cellStyle name="Normal 3 13" xfId="1250" xr:uid="{00000000-0005-0000-0000-0000F5040000}"/>
    <cellStyle name="Normal 3 14" xfId="1251" xr:uid="{00000000-0005-0000-0000-0000F6040000}"/>
    <cellStyle name="Normal 3 15" xfId="1252" xr:uid="{00000000-0005-0000-0000-0000F7040000}"/>
    <cellStyle name="Normal 3 16" xfId="1253" xr:uid="{00000000-0005-0000-0000-0000F8040000}"/>
    <cellStyle name="Normal 3 17" xfId="1254" xr:uid="{00000000-0005-0000-0000-0000F9040000}"/>
    <cellStyle name="Normal 3 18" xfId="1255" xr:uid="{00000000-0005-0000-0000-0000FA040000}"/>
    <cellStyle name="Normal 3 19" xfId="1256" xr:uid="{00000000-0005-0000-0000-0000FB040000}"/>
    <cellStyle name="Normal 3 2" xfId="1257" xr:uid="{00000000-0005-0000-0000-0000FC040000}"/>
    <cellStyle name="Normal 3 2 2" xfId="1258" xr:uid="{00000000-0005-0000-0000-0000FD040000}"/>
    <cellStyle name="Normal 3 20" xfId="1259" xr:uid="{00000000-0005-0000-0000-0000FE040000}"/>
    <cellStyle name="Normal 3 21" xfId="1260" xr:uid="{00000000-0005-0000-0000-0000FF040000}"/>
    <cellStyle name="Normal 3 22" xfId="1261" xr:uid="{00000000-0005-0000-0000-000000050000}"/>
    <cellStyle name="Normal 3 23" xfId="1262" xr:uid="{00000000-0005-0000-0000-000001050000}"/>
    <cellStyle name="Normal 3 24" xfId="1462" xr:uid="{00000000-0005-0000-0000-000002050000}"/>
    <cellStyle name="Normal 3 24 2" xfId="1486" xr:uid="{00000000-0005-0000-0000-000003050000}"/>
    <cellStyle name="Normal 3 3" xfId="1263" xr:uid="{00000000-0005-0000-0000-000004050000}"/>
    <cellStyle name="Normal 3 3 2" xfId="1264" xr:uid="{00000000-0005-0000-0000-000005050000}"/>
    <cellStyle name="Normal 3 4" xfId="1265" xr:uid="{00000000-0005-0000-0000-000006050000}"/>
    <cellStyle name="Normal 3 4 2" xfId="1266" xr:uid="{00000000-0005-0000-0000-000007050000}"/>
    <cellStyle name="Normal 3 5" xfId="1267" xr:uid="{00000000-0005-0000-0000-000008050000}"/>
    <cellStyle name="Normal 3 6" xfId="1268" xr:uid="{00000000-0005-0000-0000-000009050000}"/>
    <cellStyle name="Normal 3 6 2" xfId="1269" xr:uid="{00000000-0005-0000-0000-00000A050000}"/>
    <cellStyle name="Normal 3 7" xfId="1270" xr:uid="{00000000-0005-0000-0000-00000B050000}"/>
    <cellStyle name="Normal 3 7 2" xfId="1271" xr:uid="{00000000-0005-0000-0000-00000C050000}"/>
    <cellStyle name="Normal 3 8" xfId="1272" xr:uid="{00000000-0005-0000-0000-00000D050000}"/>
    <cellStyle name="Normal 3 8 2" xfId="1273" xr:uid="{00000000-0005-0000-0000-00000E050000}"/>
    <cellStyle name="Normal 3 9" xfId="1274" xr:uid="{00000000-0005-0000-0000-00000F050000}"/>
    <cellStyle name="Normal 3 9 2" xfId="1275" xr:uid="{00000000-0005-0000-0000-000010050000}"/>
    <cellStyle name="Normal 3_2210_2220_2230_2240_2250_2260" xfId="1276" xr:uid="{00000000-0005-0000-0000-000011050000}"/>
    <cellStyle name="Normal 30" xfId="1277" xr:uid="{00000000-0005-0000-0000-000012050000}"/>
    <cellStyle name="Normal 30 2" xfId="1278" xr:uid="{00000000-0005-0000-0000-000013050000}"/>
    <cellStyle name="Normal 31" xfId="1279" xr:uid="{00000000-0005-0000-0000-000014050000}"/>
    <cellStyle name="Normal 31 2" xfId="1280" xr:uid="{00000000-0005-0000-0000-000015050000}"/>
    <cellStyle name="Normal 32" xfId="1281" xr:uid="{00000000-0005-0000-0000-000016050000}"/>
    <cellStyle name="Normal 32 2" xfId="1282" xr:uid="{00000000-0005-0000-0000-000017050000}"/>
    <cellStyle name="Normal 32 2 2" xfId="1283" xr:uid="{00000000-0005-0000-0000-000018050000}"/>
    <cellStyle name="Normal 32 3" xfId="1284" xr:uid="{00000000-0005-0000-0000-000019050000}"/>
    <cellStyle name="Normal 32 3 2" xfId="1285" xr:uid="{00000000-0005-0000-0000-00001A050000}"/>
    <cellStyle name="Normal 32 4" xfId="1286" xr:uid="{00000000-0005-0000-0000-00001B050000}"/>
    <cellStyle name="Normal 32 4 2" xfId="1287" xr:uid="{00000000-0005-0000-0000-00001C050000}"/>
    <cellStyle name="Normal 32 5" xfId="1288" xr:uid="{00000000-0005-0000-0000-00001D050000}"/>
    <cellStyle name="Normal 33" xfId="1289" xr:uid="{00000000-0005-0000-0000-00001E050000}"/>
    <cellStyle name="Normal 33 2" xfId="1290" xr:uid="{00000000-0005-0000-0000-00001F050000}"/>
    <cellStyle name="Normal 34" xfId="1291" xr:uid="{00000000-0005-0000-0000-000020050000}"/>
    <cellStyle name="Normal 34 2" xfId="1292" xr:uid="{00000000-0005-0000-0000-000021050000}"/>
    <cellStyle name="Normal 35" xfId="1293" xr:uid="{00000000-0005-0000-0000-000022050000}"/>
    <cellStyle name="Normal 35 2" xfId="1294" xr:uid="{00000000-0005-0000-0000-000023050000}"/>
    <cellStyle name="Normal 36" xfId="1295" xr:uid="{00000000-0005-0000-0000-000024050000}"/>
    <cellStyle name="Normal 36 2" xfId="1296" xr:uid="{00000000-0005-0000-0000-000025050000}"/>
    <cellStyle name="Normal 37" xfId="1297" xr:uid="{00000000-0005-0000-0000-000026050000}"/>
    <cellStyle name="Normal 37 2" xfId="1298" xr:uid="{00000000-0005-0000-0000-000027050000}"/>
    <cellStyle name="Normal 38" xfId="1299" xr:uid="{00000000-0005-0000-0000-000028050000}"/>
    <cellStyle name="Normal 39" xfId="1461" xr:uid="{00000000-0005-0000-0000-000029050000}"/>
    <cellStyle name="Normal 39 2" xfId="1485" xr:uid="{00000000-0005-0000-0000-00002A050000}"/>
    <cellStyle name="Normal 4" xfId="1300" xr:uid="{00000000-0005-0000-0000-00002B050000}"/>
    <cellStyle name="Normal 4 10" xfId="1301" xr:uid="{00000000-0005-0000-0000-00002C050000}"/>
    <cellStyle name="Normal 4 11" xfId="1302" xr:uid="{00000000-0005-0000-0000-00002D050000}"/>
    <cellStyle name="Normal 4 12" xfId="1303" xr:uid="{00000000-0005-0000-0000-00002E050000}"/>
    <cellStyle name="Normal 4 13" xfId="1304" xr:uid="{00000000-0005-0000-0000-00002F050000}"/>
    <cellStyle name="Normal 4 14" xfId="1305" xr:uid="{00000000-0005-0000-0000-000030050000}"/>
    <cellStyle name="Normal 4 15" xfId="1306" xr:uid="{00000000-0005-0000-0000-000031050000}"/>
    <cellStyle name="Normal 4 16" xfId="1307" xr:uid="{00000000-0005-0000-0000-000032050000}"/>
    <cellStyle name="Normal 4 17" xfId="1308" xr:uid="{00000000-0005-0000-0000-000033050000}"/>
    <cellStyle name="Normal 4 2" xfId="1309" xr:uid="{00000000-0005-0000-0000-000034050000}"/>
    <cellStyle name="Normal 4 2 2" xfId="1310" xr:uid="{00000000-0005-0000-0000-000035050000}"/>
    <cellStyle name="Normal 4 2 2 2" xfId="1311" xr:uid="{00000000-0005-0000-0000-000036050000}"/>
    <cellStyle name="Normal 4 2 3" xfId="1312" xr:uid="{00000000-0005-0000-0000-000037050000}"/>
    <cellStyle name="Normal 4 3" xfId="1313" xr:uid="{00000000-0005-0000-0000-000038050000}"/>
    <cellStyle name="Normal 4 3 2" xfId="1314" xr:uid="{00000000-0005-0000-0000-000039050000}"/>
    <cellStyle name="Normal 4 4" xfId="1315" xr:uid="{00000000-0005-0000-0000-00003A050000}"/>
    <cellStyle name="Normal 4 4 2" xfId="1316" xr:uid="{00000000-0005-0000-0000-00003B050000}"/>
    <cellStyle name="Normal 4 5" xfId="1317" xr:uid="{00000000-0005-0000-0000-00003C050000}"/>
    <cellStyle name="Normal 4 6" xfId="1318" xr:uid="{00000000-0005-0000-0000-00003D050000}"/>
    <cellStyle name="Normal 4 7" xfId="1319" xr:uid="{00000000-0005-0000-0000-00003E050000}"/>
    <cellStyle name="Normal 4 8" xfId="1320" xr:uid="{00000000-0005-0000-0000-00003F050000}"/>
    <cellStyle name="Normal 4 9" xfId="1321" xr:uid="{00000000-0005-0000-0000-000040050000}"/>
    <cellStyle name="Normal 4_2210_2220_2230_2240_2250_2260" xfId="1322" xr:uid="{00000000-0005-0000-0000-000041050000}"/>
    <cellStyle name="Normal 40" xfId="1466" xr:uid="{00000000-0005-0000-0000-000042050000}"/>
    <cellStyle name="Normal 45" xfId="1323" xr:uid="{00000000-0005-0000-0000-000043050000}"/>
    <cellStyle name="Normal 45 2" xfId="1324" xr:uid="{00000000-0005-0000-0000-000044050000}"/>
    <cellStyle name="Normal 45 2 2" xfId="1325" xr:uid="{00000000-0005-0000-0000-000045050000}"/>
    <cellStyle name="Normal 45 3" xfId="1326" xr:uid="{00000000-0005-0000-0000-000046050000}"/>
    <cellStyle name="Normal 45 3 2" xfId="1327" xr:uid="{00000000-0005-0000-0000-000047050000}"/>
    <cellStyle name="Normal 45 4" xfId="1328" xr:uid="{00000000-0005-0000-0000-000048050000}"/>
    <cellStyle name="Normal 45 4 2" xfId="1329" xr:uid="{00000000-0005-0000-0000-000049050000}"/>
    <cellStyle name="Normal 45 5" xfId="1330" xr:uid="{00000000-0005-0000-0000-00004A050000}"/>
    <cellStyle name="Normal 5" xfId="1331" xr:uid="{00000000-0005-0000-0000-00004B050000}"/>
    <cellStyle name="Normal 5 2" xfId="1332" xr:uid="{00000000-0005-0000-0000-00004C050000}"/>
    <cellStyle name="Normal 5 3" xfId="1333" xr:uid="{00000000-0005-0000-0000-00004D050000}"/>
    <cellStyle name="Normal 50" xfId="1334" xr:uid="{00000000-0005-0000-0000-00004E050000}"/>
    <cellStyle name="Normal 50 2" xfId="1335" xr:uid="{00000000-0005-0000-0000-00004F050000}"/>
    <cellStyle name="Normal 50 2 2" xfId="1336" xr:uid="{00000000-0005-0000-0000-000050050000}"/>
    <cellStyle name="Normal 50 3" xfId="1337" xr:uid="{00000000-0005-0000-0000-000051050000}"/>
    <cellStyle name="Normal 50 3 2" xfId="1338" xr:uid="{00000000-0005-0000-0000-000052050000}"/>
    <cellStyle name="Normal 50 4" xfId="1339" xr:uid="{00000000-0005-0000-0000-000053050000}"/>
    <cellStyle name="Normal 51" xfId="1340" xr:uid="{00000000-0005-0000-0000-000054050000}"/>
    <cellStyle name="Normal 51 2" xfId="1341" xr:uid="{00000000-0005-0000-0000-000055050000}"/>
    <cellStyle name="Normal 51 2 2" xfId="1342" xr:uid="{00000000-0005-0000-0000-000056050000}"/>
    <cellStyle name="Normal 51 3" xfId="1343" xr:uid="{00000000-0005-0000-0000-000057050000}"/>
    <cellStyle name="Normal 51 3 2" xfId="1344" xr:uid="{00000000-0005-0000-0000-000058050000}"/>
    <cellStyle name="Normal 51 4" xfId="1345" xr:uid="{00000000-0005-0000-0000-000059050000}"/>
    <cellStyle name="Normal 6" xfId="1346" xr:uid="{00000000-0005-0000-0000-00005A050000}"/>
    <cellStyle name="Normal 6 2" xfId="1347" xr:uid="{00000000-0005-0000-0000-00005B050000}"/>
    <cellStyle name="Normal 6 2 2" xfId="1348" xr:uid="{00000000-0005-0000-0000-00005C050000}"/>
    <cellStyle name="Normal 6 3" xfId="1349" xr:uid="{00000000-0005-0000-0000-00005D050000}"/>
    <cellStyle name="Normal 6 4" xfId="1350" xr:uid="{00000000-0005-0000-0000-00005E050000}"/>
    <cellStyle name="Normal 6 4 2" xfId="7" xr:uid="{00000000-0005-0000-0000-00005F050000}"/>
    <cellStyle name="Normal 6 4 2 2" xfId="1352" xr:uid="{00000000-0005-0000-0000-000060050000}"/>
    <cellStyle name="Normal 6 4 2 2 2" xfId="1353" xr:uid="{00000000-0005-0000-0000-000061050000}"/>
    <cellStyle name="Normal 6 4 2 2 3" xfId="1483" xr:uid="{00000000-0005-0000-0000-000062050000}"/>
    <cellStyle name="Normal 6 4 2 3" xfId="1354" xr:uid="{00000000-0005-0000-0000-000063050000}"/>
    <cellStyle name="Normal 6 4 2 4" xfId="1355" xr:uid="{00000000-0005-0000-0000-000064050000}"/>
    <cellStyle name="Normal 6 4 2 5" xfId="1351" xr:uid="{00000000-0005-0000-0000-000065050000}"/>
    <cellStyle name="Normal 6 4 2 5 2" xfId="1482" xr:uid="{00000000-0005-0000-0000-000066050000}"/>
    <cellStyle name="Normal 6 4 2 6" xfId="1470" xr:uid="{00000000-0005-0000-0000-000067050000}"/>
    <cellStyle name="Normal 6 4 3" xfId="1356" xr:uid="{00000000-0005-0000-0000-000068050000}"/>
    <cellStyle name="Normal 60 2" xfId="1357" xr:uid="{00000000-0005-0000-0000-000069050000}"/>
    <cellStyle name="Normal 60 2 2" xfId="1358" xr:uid="{00000000-0005-0000-0000-00006A050000}"/>
    <cellStyle name="Normal 7" xfId="1359" xr:uid="{00000000-0005-0000-0000-00006B050000}"/>
    <cellStyle name="Normal 70" xfId="1360" xr:uid="{00000000-0005-0000-0000-00006C050000}"/>
    <cellStyle name="Normal 8" xfId="1361" xr:uid="{00000000-0005-0000-0000-00006D050000}"/>
    <cellStyle name="Normal 8 2" xfId="5" xr:uid="{00000000-0005-0000-0000-00006E050000}"/>
    <cellStyle name="Normal 9" xfId="1362" xr:uid="{00000000-0005-0000-0000-00006F050000}"/>
    <cellStyle name="Normal_Sheet3" xfId="1467" xr:uid="{00000000-0005-0000-0000-000070050000}"/>
    <cellStyle name="Note 10" xfId="1363" xr:uid="{00000000-0005-0000-0000-000071050000}"/>
    <cellStyle name="Note 11" xfId="1364" xr:uid="{00000000-0005-0000-0000-000072050000}"/>
    <cellStyle name="Note 12" xfId="1365" xr:uid="{00000000-0005-0000-0000-000073050000}"/>
    <cellStyle name="Note 13" xfId="1366" xr:uid="{00000000-0005-0000-0000-000074050000}"/>
    <cellStyle name="Note 14" xfId="1367" xr:uid="{00000000-0005-0000-0000-000075050000}"/>
    <cellStyle name="Note 15" xfId="1368" xr:uid="{00000000-0005-0000-0000-000076050000}"/>
    <cellStyle name="Note 16" xfId="1369" xr:uid="{00000000-0005-0000-0000-000077050000}"/>
    <cellStyle name="Note 2" xfId="1370" xr:uid="{00000000-0005-0000-0000-000078050000}"/>
    <cellStyle name="Note 3" xfId="1371" xr:uid="{00000000-0005-0000-0000-000079050000}"/>
    <cellStyle name="Note 4" xfId="1372" xr:uid="{00000000-0005-0000-0000-00007A050000}"/>
    <cellStyle name="Note 5" xfId="1373" xr:uid="{00000000-0005-0000-0000-00007B050000}"/>
    <cellStyle name="Note 6" xfId="1374" xr:uid="{00000000-0005-0000-0000-00007C050000}"/>
    <cellStyle name="Note 7" xfId="1375" xr:uid="{00000000-0005-0000-0000-00007D050000}"/>
    <cellStyle name="Note 8" xfId="1376" xr:uid="{00000000-0005-0000-0000-00007E050000}"/>
    <cellStyle name="Note 9" xfId="1377" xr:uid="{00000000-0005-0000-0000-00007F050000}"/>
    <cellStyle name="Output 10" xfId="1378" xr:uid="{00000000-0005-0000-0000-000080050000}"/>
    <cellStyle name="Output 11" xfId="1379" xr:uid="{00000000-0005-0000-0000-000081050000}"/>
    <cellStyle name="Output 12" xfId="1380" xr:uid="{00000000-0005-0000-0000-000082050000}"/>
    <cellStyle name="Output 13" xfId="1381" xr:uid="{00000000-0005-0000-0000-000083050000}"/>
    <cellStyle name="Output 14" xfId="1382" xr:uid="{00000000-0005-0000-0000-000084050000}"/>
    <cellStyle name="Output 15" xfId="1383" xr:uid="{00000000-0005-0000-0000-000085050000}"/>
    <cellStyle name="Output 16" xfId="1384" xr:uid="{00000000-0005-0000-0000-000086050000}"/>
    <cellStyle name="Output 2" xfId="1385" xr:uid="{00000000-0005-0000-0000-000087050000}"/>
    <cellStyle name="Output 3" xfId="1386" xr:uid="{00000000-0005-0000-0000-000088050000}"/>
    <cellStyle name="Output 4" xfId="1387" xr:uid="{00000000-0005-0000-0000-000089050000}"/>
    <cellStyle name="Output 5" xfId="1388" xr:uid="{00000000-0005-0000-0000-00008A050000}"/>
    <cellStyle name="Output 6" xfId="1389" xr:uid="{00000000-0005-0000-0000-00008B050000}"/>
    <cellStyle name="Output 7" xfId="1390" xr:uid="{00000000-0005-0000-0000-00008C050000}"/>
    <cellStyle name="Output 8" xfId="1391" xr:uid="{00000000-0005-0000-0000-00008D050000}"/>
    <cellStyle name="Output 9" xfId="1392" xr:uid="{00000000-0005-0000-0000-00008E050000}"/>
    <cellStyle name="Parasts" xfId="0" builtinId="0"/>
    <cellStyle name="Percent 2" xfId="1393" xr:uid="{00000000-0005-0000-0000-000090050000}"/>
    <cellStyle name="Percent 2 2" xfId="1394" xr:uid="{00000000-0005-0000-0000-000091050000}"/>
    <cellStyle name="Percent 3" xfId="1395" xr:uid="{00000000-0005-0000-0000-000092050000}"/>
    <cellStyle name="Percent 4" xfId="1396" xr:uid="{00000000-0005-0000-0000-000093050000}"/>
    <cellStyle name="Percent 5" xfId="1397" xr:uid="{00000000-0005-0000-0000-000094050000}"/>
    <cellStyle name="Percent 6" xfId="1398" xr:uid="{00000000-0005-0000-0000-000095050000}"/>
    <cellStyle name="Percent 6 2" xfId="1399" xr:uid="{00000000-0005-0000-0000-000096050000}"/>
    <cellStyle name="Procenti" xfId="12" builtinId="5"/>
    <cellStyle name="Title 10" xfId="1400" xr:uid="{00000000-0005-0000-0000-000097050000}"/>
    <cellStyle name="Title 11" xfId="1401" xr:uid="{00000000-0005-0000-0000-000098050000}"/>
    <cellStyle name="Title 12" xfId="1402" xr:uid="{00000000-0005-0000-0000-000099050000}"/>
    <cellStyle name="Title 13" xfId="1403" xr:uid="{00000000-0005-0000-0000-00009A050000}"/>
    <cellStyle name="Title 14" xfId="1404" xr:uid="{00000000-0005-0000-0000-00009B050000}"/>
    <cellStyle name="Title 15" xfId="1405" xr:uid="{00000000-0005-0000-0000-00009C050000}"/>
    <cellStyle name="Title 16" xfId="1406" xr:uid="{00000000-0005-0000-0000-00009D050000}"/>
    <cellStyle name="Title 2" xfId="1407" xr:uid="{00000000-0005-0000-0000-00009E050000}"/>
    <cellStyle name="Title 3" xfId="1408" xr:uid="{00000000-0005-0000-0000-00009F050000}"/>
    <cellStyle name="Title 4" xfId="1409" xr:uid="{00000000-0005-0000-0000-0000A0050000}"/>
    <cellStyle name="Title 5" xfId="1410" xr:uid="{00000000-0005-0000-0000-0000A1050000}"/>
    <cellStyle name="Title 6" xfId="1411" xr:uid="{00000000-0005-0000-0000-0000A2050000}"/>
    <cellStyle name="Title 7" xfId="1412" xr:uid="{00000000-0005-0000-0000-0000A3050000}"/>
    <cellStyle name="Title 8" xfId="1413" xr:uid="{00000000-0005-0000-0000-0000A4050000}"/>
    <cellStyle name="Title 9" xfId="1414" xr:uid="{00000000-0005-0000-0000-0000A5050000}"/>
    <cellStyle name="Total 10" xfId="1415" xr:uid="{00000000-0005-0000-0000-0000A6050000}"/>
    <cellStyle name="Total 10 2" xfId="1416" xr:uid="{00000000-0005-0000-0000-0000A7050000}"/>
    <cellStyle name="Total 11" xfId="1417" xr:uid="{00000000-0005-0000-0000-0000A8050000}"/>
    <cellStyle name="Total 11 2" xfId="1418" xr:uid="{00000000-0005-0000-0000-0000A9050000}"/>
    <cellStyle name="Total 12" xfId="1419" xr:uid="{00000000-0005-0000-0000-0000AA050000}"/>
    <cellStyle name="Total 12 2" xfId="1420" xr:uid="{00000000-0005-0000-0000-0000AB050000}"/>
    <cellStyle name="Total 13" xfId="1421" xr:uid="{00000000-0005-0000-0000-0000AC050000}"/>
    <cellStyle name="Total 13 2" xfId="1422" xr:uid="{00000000-0005-0000-0000-0000AD050000}"/>
    <cellStyle name="Total 14" xfId="1423" xr:uid="{00000000-0005-0000-0000-0000AE050000}"/>
    <cellStyle name="Total 14 2" xfId="1424" xr:uid="{00000000-0005-0000-0000-0000AF050000}"/>
    <cellStyle name="Total 15" xfId="1425" xr:uid="{00000000-0005-0000-0000-0000B0050000}"/>
    <cellStyle name="Total 15 2" xfId="1426" xr:uid="{00000000-0005-0000-0000-0000B1050000}"/>
    <cellStyle name="Total 16" xfId="1427" xr:uid="{00000000-0005-0000-0000-0000B2050000}"/>
    <cellStyle name="Total 2" xfId="1428" xr:uid="{00000000-0005-0000-0000-0000B3050000}"/>
    <cellStyle name="Total 2 2" xfId="1429" xr:uid="{00000000-0005-0000-0000-0000B4050000}"/>
    <cellStyle name="Total 3" xfId="1430" xr:uid="{00000000-0005-0000-0000-0000B5050000}"/>
    <cellStyle name="Total 3 2" xfId="1431" xr:uid="{00000000-0005-0000-0000-0000B6050000}"/>
    <cellStyle name="Total 4" xfId="1432" xr:uid="{00000000-0005-0000-0000-0000B7050000}"/>
    <cellStyle name="Total 4 2" xfId="1433" xr:uid="{00000000-0005-0000-0000-0000B8050000}"/>
    <cellStyle name="Total 5" xfId="1434" xr:uid="{00000000-0005-0000-0000-0000B9050000}"/>
    <cellStyle name="Total 5 2" xfId="1435" xr:uid="{00000000-0005-0000-0000-0000BA050000}"/>
    <cellStyle name="Total 6" xfId="1436" xr:uid="{00000000-0005-0000-0000-0000BB050000}"/>
    <cellStyle name="Total 6 2" xfId="1437" xr:uid="{00000000-0005-0000-0000-0000BC050000}"/>
    <cellStyle name="Total 7" xfId="1438" xr:uid="{00000000-0005-0000-0000-0000BD050000}"/>
    <cellStyle name="Total 7 2" xfId="1439" xr:uid="{00000000-0005-0000-0000-0000BE050000}"/>
    <cellStyle name="Total 8" xfId="1440" xr:uid="{00000000-0005-0000-0000-0000BF050000}"/>
    <cellStyle name="Total 8 2" xfId="1441" xr:uid="{00000000-0005-0000-0000-0000C0050000}"/>
    <cellStyle name="Total 9" xfId="1442" xr:uid="{00000000-0005-0000-0000-0000C1050000}"/>
    <cellStyle name="Total 9 2" xfId="1443" xr:uid="{00000000-0005-0000-0000-0000C2050000}"/>
    <cellStyle name="Warning Text 10" xfId="1444" xr:uid="{00000000-0005-0000-0000-0000C3050000}"/>
    <cellStyle name="Warning Text 11" xfId="1445" xr:uid="{00000000-0005-0000-0000-0000C4050000}"/>
    <cellStyle name="Warning Text 12" xfId="1446" xr:uid="{00000000-0005-0000-0000-0000C5050000}"/>
    <cellStyle name="Warning Text 13" xfId="1447" xr:uid="{00000000-0005-0000-0000-0000C6050000}"/>
    <cellStyle name="Warning Text 14" xfId="1448" xr:uid="{00000000-0005-0000-0000-0000C7050000}"/>
    <cellStyle name="Warning Text 15" xfId="1449" xr:uid="{00000000-0005-0000-0000-0000C8050000}"/>
    <cellStyle name="Warning Text 16" xfId="1450" xr:uid="{00000000-0005-0000-0000-0000C9050000}"/>
    <cellStyle name="Warning Text 2" xfId="1451" xr:uid="{00000000-0005-0000-0000-0000CA050000}"/>
    <cellStyle name="Warning Text 3" xfId="1452" xr:uid="{00000000-0005-0000-0000-0000CB050000}"/>
    <cellStyle name="Warning Text 4" xfId="1453" xr:uid="{00000000-0005-0000-0000-0000CC050000}"/>
    <cellStyle name="Warning Text 5" xfId="1454" xr:uid="{00000000-0005-0000-0000-0000CD050000}"/>
    <cellStyle name="Warning Text 6" xfId="1455" xr:uid="{00000000-0005-0000-0000-0000CE050000}"/>
    <cellStyle name="Warning Text 7" xfId="1456" xr:uid="{00000000-0005-0000-0000-0000CF050000}"/>
    <cellStyle name="Warning Text 8" xfId="1457" xr:uid="{00000000-0005-0000-0000-0000D0050000}"/>
    <cellStyle name="Warning Text 9" xfId="1458" xr:uid="{00000000-0005-0000-0000-0000D105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195"/>
  <sheetViews>
    <sheetView topLeftCell="A97" zoomScale="80" zoomScaleNormal="80" workbookViewId="0">
      <selection activeCell="K124" sqref="K124"/>
    </sheetView>
  </sheetViews>
  <sheetFormatPr defaultRowHeight="18.75" x14ac:dyDescent="0.2"/>
  <cols>
    <col min="1" max="1" width="7.85546875" style="119" bestFit="1" customWidth="1"/>
    <col min="2" max="2" width="53.5703125" style="119" customWidth="1"/>
    <col min="3" max="3" width="15" style="181" customWidth="1"/>
    <col min="4" max="4" width="16" style="119" customWidth="1"/>
    <col min="5" max="5" width="15" style="181" customWidth="1"/>
    <col min="6" max="6" width="14.7109375" style="181" customWidth="1"/>
    <col min="7" max="7" width="14.85546875" style="181" customWidth="1"/>
    <col min="8" max="8" width="17.7109375" style="181" customWidth="1"/>
    <col min="9" max="10" width="24.42578125" style="181" customWidth="1"/>
    <col min="11" max="11" width="78.140625" style="181" customWidth="1"/>
    <col min="12" max="12" width="9.140625" style="119" customWidth="1"/>
    <col min="13" max="16384" width="9.140625" style="119"/>
  </cols>
  <sheetData>
    <row r="1" spans="1:11" ht="56.25" x14ac:dyDescent="0.2">
      <c r="A1" s="114" t="s">
        <v>0</v>
      </c>
      <c r="B1" s="115" t="s">
        <v>1</v>
      </c>
      <c r="C1" s="291" t="s">
        <v>606</v>
      </c>
      <c r="D1" s="291" t="s">
        <v>607</v>
      </c>
      <c r="E1" s="291" t="s">
        <v>608</v>
      </c>
      <c r="F1" s="291" t="s">
        <v>609</v>
      </c>
      <c r="G1" s="291" t="s">
        <v>610</v>
      </c>
      <c r="H1" s="291" t="s">
        <v>611</v>
      </c>
      <c r="I1" s="116" t="s">
        <v>612</v>
      </c>
      <c r="J1" s="117" t="s">
        <v>613</v>
      </c>
      <c r="K1" s="118" t="s">
        <v>419</v>
      </c>
    </row>
    <row r="2" spans="1:11" x14ac:dyDescent="0.2">
      <c r="A2" s="114">
        <v>1</v>
      </c>
      <c r="B2" s="115">
        <v>2</v>
      </c>
      <c r="C2" s="114">
        <v>3</v>
      </c>
      <c r="D2" s="115">
        <v>4</v>
      </c>
      <c r="E2" s="114">
        <v>5</v>
      </c>
      <c r="F2" s="115">
        <v>6</v>
      </c>
      <c r="G2" s="114">
        <v>7</v>
      </c>
      <c r="H2" s="115">
        <v>8</v>
      </c>
      <c r="I2" s="114">
        <v>9</v>
      </c>
      <c r="J2" s="115">
        <v>10</v>
      </c>
      <c r="K2" s="114">
        <v>11</v>
      </c>
    </row>
    <row r="3" spans="1:11" ht="37.5" x14ac:dyDescent="0.2">
      <c r="A3" s="120" t="s">
        <v>2</v>
      </c>
      <c r="B3" s="121" t="s">
        <v>3</v>
      </c>
      <c r="C3" s="341">
        <v>22715109.057500001</v>
      </c>
      <c r="D3" s="324">
        <v>22441270.460000001</v>
      </c>
      <c r="E3" s="324">
        <v>5385530.6118999999</v>
      </c>
      <c r="F3" s="324">
        <v>11415521.4794</v>
      </c>
      <c r="G3" s="324">
        <v>17576489.601299997</v>
      </c>
      <c r="H3" s="324">
        <v>23894033.032099996</v>
      </c>
      <c r="I3" s="122">
        <f t="shared" ref="I3:I66" si="0">H3-D3</f>
        <v>1452762.5720999949</v>
      </c>
      <c r="J3" s="123">
        <f>IFERROR(I3/ABS(D3), "-")</f>
        <v>6.4736199970917105E-2</v>
      </c>
      <c r="K3" s="124"/>
    </row>
    <row r="4" spans="1:11" s="127" customFormat="1" ht="19.5" x14ac:dyDescent="0.2">
      <c r="A4" s="125" t="s">
        <v>119</v>
      </c>
      <c r="B4" s="126" t="s">
        <v>4</v>
      </c>
      <c r="C4" s="341">
        <v>20323993.105</v>
      </c>
      <c r="D4" s="324">
        <v>20093656.890000001</v>
      </c>
      <c r="E4" s="324">
        <v>4698510.1074999999</v>
      </c>
      <c r="F4" s="324">
        <v>10043457.849400001</v>
      </c>
      <c r="G4" s="324">
        <v>15520212.0144</v>
      </c>
      <c r="H4" s="324">
        <v>21183467.2256</v>
      </c>
      <c r="I4" s="122">
        <f t="shared" si="0"/>
        <v>1089810.3355999999</v>
      </c>
      <c r="J4" s="123">
        <f t="shared" ref="J4:J66" si="1">IFERROR(I4/ABS(D4), "-")</f>
        <v>5.4236535517950699E-2</v>
      </c>
      <c r="K4" s="124"/>
    </row>
    <row r="5" spans="1:11" s="127" customFormat="1" ht="37.5" x14ac:dyDescent="0.2">
      <c r="A5" s="125" t="s">
        <v>120</v>
      </c>
      <c r="B5" s="126" t="s">
        <v>121</v>
      </c>
      <c r="C5" s="341">
        <v>19451455</v>
      </c>
      <c r="D5" s="324">
        <v>19094784.370000001</v>
      </c>
      <c r="E5" s="324">
        <v>4458483</v>
      </c>
      <c r="F5" s="324">
        <v>9551940</v>
      </c>
      <c r="G5" s="324">
        <v>14784111</v>
      </c>
      <c r="H5" s="324">
        <v>20123731</v>
      </c>
      <c r="I5" s="122">
        <f t="shared" si="0"/>
        <v>1028946.629999999</v>
      </c>
      <c r="J5" s="123">
        <f t="shared" si="1"/>
        <v>5.3886266011811415E-2</v>
      </c>
      <c r="K5" s="124"/>
    </row>
    <row r="6" spans="1:11" x14ac:dyDescent="0.2">
      <c r="A6" s="128" t="s">
        <v>122</v>
      </c>
      <c r="B6" s="129" t="s">
        <v>5</v>
      </c>
      <c r="C6" s="342">
        <f>C5-C7-C8-C9</f>
        <v>17891543</v>
      </c>
      <c r="D6" s="325">
        <v>17718090.449999999</v>
      </c>
      <c r="E6" s="325">
        <v>4069507</v>
      </c>
      <c r="F6" s="325">
        <v>8693948</v>
      </c>
      <c r="G6" s="325">
        <v>13503366</v>
      </c>
      <c r="H6" s="325">
        <v>18497761</v>
      </c>
      <c r="I6" s="130">
        <f t="shared" si="0"/>
        <v>779670.55000000075</v>
      </c>
      <c r="J6" s="131">
        <f t="shared" si="1"/>
        <v>4.40042087041045E-2</v>
      </c>
      <c r="K6" s="282"/>
    </row>
    <row r="7" spans="1:11" ht="56.25" x14ac:dyDescent="0.2">
      <c r="A7" s="128" t="s">
        <v>123</v>
      </c>
      <c r="B7" s="129" t="s">
        <v>6</v>
      </c>
      <c r="C7" s="343">
        <v>62888</v>
      </c>
      <c r="D7" s="325">
        <v>69063.39</v>
      </c>
      <c r="E7" s="325">
        <v>13835</v>
      </c>
      <c r="F7" s="325">
        <v>29557</v>
      </c>
      <c r="G7" s="325">
        <v>45908</v>
      </c>
      <c r="H7" s="325">
        <v>62888</v>
      </c>
      <c r="I7" s="130">
        <f t="shared" si="0"/>
        <v>-6175.3899999999994</v>
      </c>
      <c r="J7" s="131">
        <f>IFERROR(I7/ABS(D7), "-")</f>
        <v>-8.9416259468294262E-2</v>
      </c>
      <c r="K7" s="427" t="s">
        <v>642</v>
      </c>
    </row>
    <row r="8" spans="1:11" ht="56.25" x14ac:dyDescent="0.2">
      <c r="A8" s="128" t="s">
        <v>124</v>
      </c>
      <c r="B8" s="129" t="s">
        <v>7</v>
      </c>
      <c r="C8" s="343">
        <v>1471146</v>
      </c>
      <c r="D8" s="325">
        <v>1294100.77</v>
      </c>
      <c r="E8" s="325">
        <v>367515</v>
      </c>
      <c r="F8" s="325">
        <v>811595</v>
      </c>
      <c r="G8" s="325">
        <v>1209736</v>
      </c>
      <c r="H8" s="325">
        <v>1531311</v>
      </c>
      <c r="I8" s="130">
        <f t="shared" si="0"/>
        <v>237210.22999999998</v>
      </c>
      <c r="J8" s="131">
        <f t="shared" si="1"/>
        <v>0.1833012045885731</v>
      </c>
      <c r="K8" s="427" t="s">
        <v>643</v>
      </c>
    </row>
    <row r="9" spans="1:11" ht="56.25" x14ac:dyDescent="0.2">
      <c r="A9" s="128" t="s">
        <v>125</v>
      </c>
      <c r="B9" s="129" t="s">
        <v>8</v>
      </c>
      <c r="C9" s="343">
        <v>25878</v>
      </c>
      <c r="D9" s="325">
        <v>13529.76</v>
      </c>
      <c r="E9" s="325">
        <v>7626</v>
      </c>
      <c r="F9" s="325">
        <v>16840</v>
      </c>
      <c r="G9" s="325">
        <v>25101</v>
      </c>
      <c r="H9" s="325">
        <v>31771</v>
      </c>
      <c r="I9" s="130">
        <f t="shared" si="0"/>
        <v>18241.239999999998</v>
      </c>
      <c r="J9" s="131">
        <f t="shared" si="1"/>
        <v>1.3482308629273541</v>
      </c>
      <c r="K9" s="427" t="s">
        <v>643</v>
      </c>
    </row>
    <row r="10" spans="1:11" ht="19.5" hidden="1" x14ac:dyDescent="0.2">
      <c r="A10" s="125" t="s">
        <v>126</v>
      </c>
      <c r="B10" s="126" t="s">
        <v>127</v>
      </c>
      <c r="C10" s="341">
        <v>0</v>
      </c>
      <c r="D10" s="324">
        <v>0</v>
      </c>
      <c r="E10" s="324">
        <v>0</v>
      </c>
      <c r="F10" s="324">
        <v>0</v>
      </c>
      <c r="G10" s="324">
        <v>0</v>
      </c>
      <c r="H10" s="324">
        <v>0</v>
      </c>
      <c r="I10" s="122">
        <f t="shared" si="0"/>
        <v>0</v>
      </c>
      <c r="J10" s="123" t="str">
        <f t="shared" si="1"/>
        <v>-</v>
      </c>
      <c r="K10" s="124"/>
    </row>
    <row r="11" spans="1:11" hidden="1" x14ac:dyDescent="0.2">
      <c r="A11" s="128" t="s">
        <v>128</v>
      </c>
      <c r="B11" s="129" t="s">
        <v>129</v>
      </c>
      <c r="C11" s="343">
        <v>0</v>
      </c>
      <c r="D11" s="325">
        <v>0</v>
      </c>
      <c r="E11" s="325">
        <v>0</v>
      </c>
      <c r="F11" s="325">
        <v>0</v>
      </c>
      <c r="G11" s="325">
        <v>0</v>
      </c>
      <c r="H11" s="325">
        <v>0</v>
      </c>
      <c r="I11" s="130">
        <f t="shared" si="0"/>
        <v>0</v>
      </c>
      <c r="J11" s="131" t="str">
        <f t="shared" si="1"/>
        <v>-</v>
      </c>
      <c r="K11" s="35"/>
    </row>
    <row r="12" spans="1:11" hidden="1" x14ac:dyDescent="0.2">
      <c r="A12" s="128" t="s">
        <v>130</v>
      </c>
      <c r="B12" s="129" t="s">
        <v>131</v>
      </c>
      <c r="C12" s="343">
        <v>0</v>
      </c>
      <c r="D12" s="325">
        <v>0</v>
      </c>
      <c r="E12" s="325">
        <v>0</v>
      </c>
      <c r="F12" s="325">
        <v>0</v>
      </c>
      <c r="G12" s="325">
        <v>0</v>
      </c>
      <c r="H12" s="325">
        <v>0</v>
      </c>
      <c r="I12" s="130">
        <f t="shared" si="0"/>
        <v>0</v>
      </c>
      <c r="J12" s="131" t="str">
        <f t="shared" si="1"/>
        <v>-</v>
      </c>
      <c r="K12" s="35"/>
    </row>
    <row r="13" spans="1:11" ht="37.5" x14ac:dyDescent="0.2">
      <c r="A13" s="125" t="s">
        <v>132</v>
      </c>
      <c r="B13" s="126" t="s">
        <v>133</v>
      </c>
      <c r="C13" s="341">
        <v>708911.17999999993</v>
      </c>
      <c r="D13" s="324">
        <v>753757.78</v>
      </c>
      <c r="E13" s="324">
        <v>195454.26</v>
      </c>
      <c r="F13" s="324">
        <v>399877.20520000003</v>
      </c>
      <c r="G13" s="324">
        <v>595993.20519999997</v>
      </c>
      <c r="H13" s="324">
        <v>807162.44859999989</v>
      </c>
      <c r="I13" s="122">
        <f t="shared" si="0"/>
        <v>53404.668599999859</v>
      </c>
      <c r="J13" s="123">
        <f t="shared" si="1"/>
        <v>7.0851233668194916E-2</v>
      </c>
      <c r="K13" s="124"/>
    </row>
    <row r="14" spans="1:11" x14ac:dyDescent="0.2">
      <c r="A14" s="128" t="s">
        <v>134</v>
      </c>
      <c r="B14" s="129" t="s">
        <v>135</v>
      </c>
      <c r="C14" s="343">
        <v>708911.17999999993</v>
      </c>
      <c r="D14" s="325">
        <v>753757.78</v>
      </c>
      <c r="E14" s="325">
        <v>195454.26</v>
      </c>
      <c r="F14" s="325">
        <v>399877.20520000003</v>
      </c>
      <c r="G14" s="325">
        <v>595993.20519999997</v>
      </c>
      <c r="H14" s="325">
        <v>807162.44859999989</v>
      </c>
      <c r="I14" s="130">
        <f t="shared" si="0"/>
        <v>53404.668599999859</v>
      </c>
      <c r="J14" s="131">
        <f>IFERROR(I14/ABS(D14), "-")</f>
        <v>7.0851233668194916E-2</v>
      </c>
      <c r="K14" s="426" t="s">
        <v>649</v>
      </c>
    </row>
    <row r="15" spans="1:11" ht="37.5" hidden="1" x14ac:dyDescent="0.2">
      <c r="A15" s="128" t="s">
        <v>136</v>
      </c>
      <c r="B15" s="129" t="s">
        <v>420</v>
      </c>
      <c r="C15" s="343">
        <v>0</v>
      </c>
      <c r="D15" s="325">
        <v>0</v>
      </c>
      <c r="E15" s="325">
        <v>0</v>
      </c>
      <c r="F15" s="325">
        <v>0</v>
      </c>
      <c r="G15" s="325">
        <v>0</v>
      </c>
      <c r="H15" s="325">
        <v>0</v>
      </c>
      <c r="I15" s="130">
        <f t="shared" si="0"/>
        <v>0</v>
      </c>
      <c r="J15" s="131" t="str">
        <f t="shared" si="1"/>
        <v>-</v>
      </c>
      <c r="K15" s="292"/>
    </row>
    <row r="16" spans="1:11" ht="19.5" x14ac:dyDescent="0.2">
      <c r="A16" s="125" t="s">
        <v>137</v>
      </c>
      <c r="B16" s="126" t="s">
        <v>108</v>
      </c>
      <c r="C16" s="341">
        <v>163626.92499999999</v>
      </c>
      <c r="D16" s="324">
        <v>245114.73999999996</v>
      </c>
      <c r="E16" s="324">
        <v>44572.847500000003</v>
      </c>
      <c r="F16" s="324">
        <v>91640.64420000001</v>
      </c>
      <c r="G16" s="324">
        <v>140107.80920000002</v>
      </c>
      <c r="H16" s="324">
        <v>252573.777</v>
      </c>
      <c r="I16" s="122">
        <f t="shared" si="0"/>
        <v>7459.0370000000403</v>
      </c>
      <c r="J16" s="123">
        <f t="shared" si="1"/>
        <v>3.0430797429807938E-2</v>
      </c>
      <c r="K16" s="417"/>
    </row>
    <row r="17" spans="1:11" x14ac:dyDescent="0.2">
      <c r="A17" s="128" t="s">
        <v>138</v>
      </c>
      <c r="B17" s="129" t="s">
        <v>9</v>
      </c>
      <c r="C17" s="343">
        <v>0</v>
      </c>
      <c r="D17" s="325">
        <v>0</v>
      </c>
      <c r="E17" s="325">
        <v>0</v>
      </c>
      <c r="F17" s="325">
        <v>0</v>
      </c>
      <c r="G17" s="325">
        <v>0</v>
      </c>
      <c r="H17" s="325">
        <v>0</v>
      </c>
      <c r="I17" s="130">
        <f t="shared" si="0"/>
        <v>0</v>
      </c>
      <c r="J17" s="131" t="str">
        <f t="shared" si="1"/>
        <v>-</v>
      </c>
      <c r="K17" s="282"/>
    </row>
    <row r="18" spans="1:11" ht="37.5" x14ac:dyDescent="0.2">
      <c r="A18" s="128" t="s">
        <v>139</v>
      </c>
      <c r="B18" s="132" t="s">
        <v>10</v>
      </c>
      <c r="C18" s="343">
        <v>163626.92499999999</v>
      </c>
      <c r="D18" s="326">
        <v>245114.73999999996</v>
      </c>
      <c r="E18" s="325">
        <v>44572.847500000003</v>
      </c>
      <c r="F18" s="325">
        <v>91640.64420000001</v>
      </c>
      <c r="G18" s="325">
        <v>140107.80920000002</v>
      </c>
      <c r="H18" s="326">
        <v>252573.777</v>
      </c>
      <c r="I18" s="130">
        <f t="shared" si="0"/>
        <v>7459.0370000000403</v>
      </c>
      <c r="J18" s="131">
        <f t="shared" si="1"/>
        <v>3.0430797429807938E-2</v>
      </c>
      <c r="K18" s="282"/>
    </row>
    <row r="19" spans="1:11" ht="37.5" hidden="1" x14ac:dyDescent="0.2">
      <c r="A19" s="128" t="s">
        <v>140</v>
      </c>
      <c r="B19" s="129" t="s">
        <v>12</v>
      </c>
      <c r="C19" s="343">
        <v>0</v>
      </c>
      <c r="D19" s="325">
        <v>0</v>
      </c>
      <c r="E19" s="325">
        <v>0</v>
      </c>
      <c r="F19" s="325">
        <v>0</v>
      </c>
      <c r="G19" s="325">
        <v>0</v>
      </c>
      <c r="H19" s="325">
        <v>0</v>
      </c>
      <c r="I19" s="130">
        <f t="shared" si="0"/>
        <v>0</v>
      </c>
      <c r="J19" s="131" t="str">
        <f t="shared" si="1"/>
        <v>-</v>
      </c>
      <c r="K19" s="292"/>
    </row>
    <row r="20" spans="1:11" hidden="1" x14ac:dyDescent="0.2">
      <c r="A20" s="128" t="s">
        <v>141</v>
      </c>
      <c r="B20" s="129" t="s">
        <v>13</v>
      </c>
      <c r="C20" s="343">
        <v>0</v>
      </c>
      <c r="D20" s="325">
        <v>0</v>
      </c>
      <c r="E20" s="325">
        <v>0</v>
      </c>
      <c r="F20" s="325">
        <v>0</v>
      </c>
      <c r="G20" s="325">
        <v>0</v>
      </c>
      <c r="H20" s="325">
        <v>0</v>
      </c>
      <c r="I20" s="130">
        <f t="shared" si="0"/>
        <v>0</v>
      </c>
      <c r="J20" s="131" t="str">
        <f t="shared" si="1"/>
        <v>-</v>
      </c>
      <c r="K20" s="292"/>
    </row>
    <row r="21" spans="1:11" ht="37.5" hidden="1" x14ac:dyDescent="0.2">
      <c r="A21" s="125" t="s">
        <v>414</v>
      </c>
      <c r="B21" s="126" t="s">
        <v>415</v>
      </c>
      <c r="C21" s="344">
        <v>0</v>
      </c>
      <c r="D21" s="327">
        <v>0</v>
      </c>
      <c r="E21" s="327">
        <v>0</v>
      </c>
      <c r="F21" s="327">
        <v>0</v>
      </c>
      <c r="G21" s="327">
        <v>0</v>
      </c>
      <c r="H21" s="327">
        <v>0</v>
      </c>
      <c r="I21" s="122">
        <f t="shared" si="0"/>
        <v>0</v>
      </c>
      <c r="J21" s="123" t="str">
        <f t="shared" si="1"/>
        <v>-</v>
      </c>
      <c r="K21" s="294"/>
    </row>
    <row r="22" spans="1:11" s="127" customFormat="1" ht="19.5" hidden="1" x14ac:dyDescent="0.2">
      <c r="A22" s="125" t="s">
        <v>142</v>
      </c>
      <c r="B22" s="126" t="s">
        <v>14</v>
      </c>
      <c r="C22" s="341">
        <v>0</v>
      </c>
      <c r="D22" s="324">
        <v>0</v>
      </c>
      <c r="E22" s="324">
        <v>0</v>
      </c>
      <c r="F22" s="324">
        <v>0</v>
      </c>
      <c r="G22" s="324">
        <v>0</v>
      </c>
      <c r="H22" s="324">
        <v>0</v>
      </c>
      <c r="I22" s="122">
        <f t="shared" si="0"/>
        <v>0</v>
      </c>
      <c r="J22" s="123" t="str">
        <f t="shared" si="1"/>
        <v>-</v>
      </c>
      <c r="K22" s="293"/>
    </row>
    <row r="23" spans="1:11" hidden="1" x14ac:dyDescent="0.2">
      <c r="A23" s="128" t="s">
        <v>143</v>
      </c>
      <c r="B23" s="129" t="s">
        <v>417</v>
      </c>
      <c r="C23" s="343">
        <v>0</v>
      </c>
      <c r="D23" s="325">
        <v>0</v>
      </c>
      <c r="E23" s="325">
        <v>0</v>
      </c>
      <c r="F23" s="325">
        <v>0</v>
      </c>
      <c r="G23" s="325">
        <v>0</v>
      </c>
      <c r="H23" s="325">
        <v>0</v>
      </c>
      <c r="I23" s="130">
        <f t="shared" si="0"/>
        <v>0</v>
      </c>
      <c r="J23" s="131" t="str">
        <f t="shared" si="1"/>
        <v>-</v>
      </c>
      <c r="K23" s="292"/>
    </row>
    <row r="24" spans="1:11" hidden="1" x14ac:dyDescent="0.2">
      <c r="A24" s="128" t="s">
        <v>416</v>
      </c>
      <c r="B24" s="129" t="s">
        <v>418</v>
      </c>
      <c r="C24" s="343">
        <v>0</v>
      </c>
      <c r="D24" s="325">
        <v>0</v>
      </c>
      <c r="E24" s="325">
        <v>0</v>
      </c>
      <c r="F24" s="325">
        <v>0</v>
      </c>
      <c r="G24" s="325">
        <v>0</v>
      </c>
      <c r="H24" s="325">
        <v>0</v>
      </c>
      <c r="I24" s="130">
        <f t="shared" si="0"/>
        <v>0</v>
      </c>
      <c r="J24" s="131" t="str">
        <f t="shared" si="1"/>
        <v>-</v>
      </c>
      <c r="K24" s="292"/>
    </row>
    <row r="25" spans="1:11" s="127" customFormat="1" ht="19.5" x14ac:dyDescent="0.2">
      <c r="A25" s="125" t="s">
        <v>144</v>
      </c>
      <c r="B25" s="126" t="s">
        <v>15</v>
      </c>
      <c r="C25" s="341">
        <v>1402227.3847000003</v>
      </c>
      <c r="D25" s="324">
        <v>1363359.31</v>
      </c>
      <c r="E25" s="324">
        <v>443145.03049999999</v>
      </c>
      <c r="F25" s="324">
        <v>869730.47290000005</v>
      </c>
      <c r="G25" s="324">
        <v>1281498.8625</v>
      </c>
      <c r="H25" s="324">
        <v>1678028.6835</v>
      </c>
      <c r="I25" s="122">
        <f t="shared" si="0"/>
        <v>314669.37349999999</v>
      </c>
      <c r="J25" s="123">
        <f t="shared" si="1"/>
        <v>0.23080443371894382</v>
      </c>
      <c r="K25" s="418"/>
    </row>
    <row r="26" spans="1:11" ht="56.25" x14ac:dyDescent="0.2">
      <c r="A26" s="128" t="s">
        <v>291</v>
      </c>
      <c r="B26" s="129" t="s">
        <v>145</v>
      </c>
      <c r="C26" s="343">
        <v>1170782.4810000001</v>
      </c>
      <c r="D26" s="325">
        <v>1123394.3500000001</v>
      </c>
      <c r="E26" s="325">
        <v>377088.78450000001</v>
      </c>
      <c r="F26" s="325">
        <v>747519.00690000004</v>
      </c>
      <c r="G26" s="325">
        <v>1099478.1965000001</v>
      </c>
      <c r="H26" s="325">
        <v>1412078.5345000001</v>
      </c>
      <c r="I26" s="130">
        <f t="shared" si="0"/>
        <v>288684.18449999997</v>
      </c>
      <c r="J26" s="131">
        <f t="shared" si="1"/>
        <v>0.25697493004126287</v>
      </c>
      <c r="K26" s="428" t="s">
        <v>648</v>
      </c>
    </row>
    <row r="27" spans="1:11" x14ac:dyDescent="0.2">
      <c r="A27" s="128" t="s">
        <v>292</v>
      </c>
      <c r="B27" s="129" t="s">
        <v>146</v>
      </c>
      <c r="C27" s="343">
        <v>0</v>
      </c>
      <c r="D27" s="325">
        <v>0</v>
      </c>
      <c r="E27" s="325">
        <v>0</v>
      </c>
      <c r="F27" s="325">
        <v>0</v>
      </c>
      <c r="G27" s="325">
        <v>0</v>
      </c>
      <c r="H27" s="325">
        <v>0</v>
      </c>
      <c r="I27" s="130">
        <f t="shared" si="0"/>
        <v>0</v>
      </c>
      <c r="J27" s="131" t="str">
        <f t="shared" si="1"/>
        <v>-</v>
      </c>
      <c r="K27" s="35"/>
    </row>
    <row r="28" spans="1:11" x14ac:dyDescent="0.2">
      <c r="A28" s="128" t="s">
        <v>147</v>
      </c>
      <c r="B28" s="129" t="s">
        <v>16</v>
      </c>
      <c r="C28" s="343">
        <v>231444.90370000005</v>
      </c>
      <c r="D28" s="325">
        <v>239964.95999999996</v>
      </c>
      <c r="E28" s="325">
        <v>66056.246000000014</v>
      </c>
      <c r="F28" s="325">
        <v>122211.46600000001</v>
      </c>
      <c r="G28" s="325">
        <v>182020.66600000003</v>
      </c>
      <c r="H28" s="325">
        <v>265950.14900000003</v>
      </c>
      <c r="I28" s="130">
        <f t="shared" si="0"/>
        <v>25985.189000000071</v>
      </c>
      <c r="J28" s="131">
        <f t="shared" si="1"/>
        <v>0.10828743079823019</v>
      </c>
      <c r="K28" s="426" t="s">
        <v>650</v>
      </c>
    </row>
    <row r="29" spans="1:11" ht="19.5" x14ac:dyDescent="0.2">
      <c r="A29" s="133" t="s">
        <v>150</v>
      </c>
      <c r="B29" s="134" t="s">
        <v>17</v>
      </c>
      <c r="C29" s="345">
        <v>325025.49190000002</v>
      </c>
      <c r="D29" s="328">
        <v>283252</v>
      </c>
      <c r="E29" s="328">
        <v>68433.06</v>
      </c>
      <c r="F29" s="328">
        <v>141142.82</v>
      </c>
      <c r="G29" s="328">
        <v>217652.25</v>
      </c>
      <c r="H29" s="328">
        <v>291911.13</v>
      </c>
      <c r="I29" s="135">
        <f t="shared" si="0"/>
        <v>8659.1300000000047</v>
      </c>
      <c r="J29" s="136">
        <f t="shared" si="1"/>
        <v>3.0570410800276802E-2</v>
      </c>
      <c r="K29" s="282"/>
    </row>
    <row r="30" spans="1:11" ht="37.5" x14ac:dyDescent="0.2">
      <c r="A30" s="133" t="s">
        <v>151</v>
      </c>
      <c r="B30" s="134" t="s">
        <v>18</v>
      </c>
      <c r="C30" s="345">
        <v>307370.05590000004</v>
      </c>
      <c r="D30" s="328">
        <v>310593.35000000003</v>
      </c>
      <c r="E30" s="328">
        <v>75432.853900000002</v>
      </c>
      <c r="F30" s="328">
        <v>158624.34710000001</v>
      </c>
      <c r="G30" s="328">
        <v>249764.83440000002</v>
      </c>
      <c r="H30" s="328">
        <v>320036.19300000003</v>
      </c>
      <c r="I30" s="135">
        <f t="shared" si="0"/>
        <v>9442.8429999999935</v>
      </c>
      <c r="J30" s="136">
        <f t="shared" si="1"/>
        <v>3.0402592328522143E-2</v>
      </c>
      <c r="K30" s="282"/>
    </row>
    <row r="31" spans="1:11" ht="19.5" x14ac:dyDescent="0.2">
      <c r="A31" s="133" t="s">
        <v>152</v>
      </c>
      <c r="B31" s="134" t="s">
        <v>19</v>
      </c>
      <c r="C31" s="345">
        <v>0</v>
      </c>
      <c r="D31" s="328">
        <v>0</v>
      </c>
      <c r="E31" s="328">
        <v>0</v>
      </c>
      <c r="F31" s="328">
        <v>0</v>
      </c>
      <c r="G31" s="328">
        <v>0</v>
      </c>
      <c r="H31" s="328">
        <v>0</v>
      </c>
      <c r="I31" s="135">
        <f t="shared" si="0"/>
        <v>0</v>
      </c>
      <c r="J31" s="136" t="str">
        <f t="shared" si="1"/>
        <v>-</v>
      </c>
      <c r="K31" s="36"/>
    </row>
    <row r="32" spans="1:11" s="138" customFormat="1" ht="19.5" x14ac:dyDescent="0.2">
      <c r="A32" s="133" t="s">
        <v>153</v>
      </c>
      <c r="B32" s="137" t="s">
        <v>20</v>
      </c>
      <c r="C32" s="345">
        <v>155565.01999999999</v>
      </c>
      <c r="D32" s="329">
        <v>146564</v>
      </c>
      <c r="E32" s="328">
        <v>35190.269999999997</v>
      </c>
      <c r="F32" s="328">
        <v>72927.41</v>
      </c>
      <c r="G32" s="328">
        <v>112903.77</v>
      </c>
      <c r="H32" s="328">
        <v>149910.64000000001</v>
      </c>
      <c r="I32" s="135">
        <f t="shared" si="0"/>
        <v>3346.640000000014</v>
      </c>
      <c r="J32" s="136">
        <f t="shared" si="1"/>
        <v>2.2833983788652153E-2</v>
      </c>
      <c r="K32" s="282"/>
    </row>
    <row r="33" spans="1:11" s="138" customFormat="1" ht="37.5" x14ac:dyDescent="0.2">
      <c r="A33" s="139" t="s">
        <v>154</v>
      </c>
      <c r="B33" s="140" t="s">
        <v>334</v>
      </c>
      <c r="C33" s="346">
        <v>200928</v>
      </c>
      <c r="D33" s="331">
        <v>243844.91000000003</v>
      </c>
      <c r="E33" s="330">
        <v>64819.29</v>
      </c>
      <c r="F33" s="330">
        <v>129638.57999999999</v>
      </c>
      <c r="G33" s="330">
        <v>194457.86999999997</v>
      </c>
      <c r="H33" s="330">
        <v>270679.15999999997</v>
      </c>
      <c r="I33" s="141">
        <f t="shared" si="0"/>
        <v>26834.249999999942</v>
      </c>
      <c r="J33" s="142">
        <f t="shared" si="1"/>
        <v>0.11004638152996483</v>
      </c>
      <c r="K33" s="428" t="s">
        <v>645</v>
      </c>
    </row>
    <row r="34" spans="1:11" ht="37.5" x14ac:dyDescent="0.2">
      <c r="A34" s="120" t="s">
        <v>21</v>
      </c>
      <c r="B34" s="121" t="s">
        <v>344</v>
      </c>
      <c r="C34" s="341">
        <v>21444158.740300003</v>
      </c>
      <c r="D34" s="324">
        <v>21181606.84</v>
      </c>
      <c r="E34" s="324">
        <v>5163170.7788173007</v>
      </c>
      <c r="F34" s="324">
        <v>10966170.114783477</v>
      </c>
      <c r="G34" s="324">
        <v>16869377.857761495</v>
      </c>
      <c r="H34" s="324">
        <v>22740448.660044245</v>
      </c>
      <c r="I34" s="122">
        <f t="shared" si="0"/>
        <v>1558841.8200442456</v>
      </c>
      <c r="J34" s="123">
        <f t="shared" si="1"/>
        <v>7.359412493203682E-2</v>
      </c>
      <c r="K34" s="124"/>
    </row>
    <row r="35" spans="1:11" s="127" customFormat="1" ht="19.5" x14ac:dyDescent="0.2">
      <c r="A35" s="120" t="s">
        <v>22</v>
      </c>
      <c r="B35" s="126" t="s">
        <v>23</v>
      </c>
      <c r="C35" s="341">
        <v>13939704.670000002</v>
      </c>
      <c r="D35" s="324">
        <v>13350263.92</v>
      </c>
      <c r="E35" s="324">
        <v>3184177.7365899999</v>
      </c>
      <c r="F35" s="324">
        <v>6852215.4282099996</v>
      </c>
      <c r="G35" s="324">
        <v>10435909.773049999</v>
      </c>
      <c r="H35" s="324">
        <v>13954841.394299997</v>
      </c>
      <c r="I35" s="122">
        <f t="shared" si="0"/>
        <v>604577.47429999709</v>
      </c>
      <c r="J35" s="123">
        <f t="shared" si="1"/>
        <v>4.5285806926579256E-2</v>
      </c>
      <c r="K35" s="124"/>
    </row>
    <row r="36" spans="1:11" s="127" customFormat="1" ht="19.5" x14ac:dyDescent="0.2">
      <c r="A36" s="120">
        <v>1100</v>
      </c>
      <c r="B36" s="143" t="s">
        <v>24</v>
      </c>
      <c r="C36" s="324">
        <v>11132060.390000001</v>
      </c>
      <c r="D36" s="324">
        <v>10765795.729999999</v>
      </c>
      <c r="E36" s="324">
        <v>2560587.31</v>
      </c>
      <c r="F36" s="324">
        <v>5532507.5099999998</v>
      </c>
      <c r="G36" s="324">
        <v>8409030.1380000003</v>
      </c>
      <c r="H36" s="324">
        <v>11240563.328000002</v>
      </c>
      <c r="I36" s="122">
        <f t="shared" si="0"/>
        <v>474767.59800000302</v>
      </c>
      <c r="J36" s="123">
        <f t="shared" si="1"/>
        <v>4.4099629038754119E-2</v>
      </c>
      <c r="K36" s="124"/>
    </row>
    <row r="37" spans="1:11" x14ac:dyDescent="0.2">
      <c r="A37" s="144">
        <v>1110</v>
      </c>
      <c r="B37" s="145" t="s">
        <v>25</v>
      </c>
      <c r="C37" s="332">
        <v>7862911.4699999997</v>
      </c>
      <c r="D37" s="332">
        <v>8019091.0800000001</v>
      </c>
      <c r="E37" s="332">
        <v>1905418.67</v>
      </c>
      <c r="F37" s="332">
        <v>4073152.59</v>
      </c>
      <c r="G37" s="332">
        <v>6280551.2000000002</v>
      </c>
      <c r="H37" s="332">
        <v>8345489.7300000004</v>
      </c>
      <c r="I37" s="130">
        <f t="shared" si="0"/>
        <v>326398.65000000037</v>
      </c>
      <c r="J37" s="131">
        <f t="shared" si="1"/>
        <v>4.0702698939790616E-2</v>
      </c>
      <c r="K37" s="419"/>
    </row>
    <row r="38" spans="1:11" ht="75" x14ac:dyDescent="0.2">
      <c r="A38" s="146">
        <v>1111</v>
      </c>
      <c r="B38" s="147" t="s">
        <v>328</v>
      </c>
      <c r="C38" s="343">
        <v>130152</v>
      </c>
      <c r="D38" s="325">
        <v>108477.97</v>
      </c>
      <c r="E38" s="325">
        <v>32538</v>
      </c>
      <c r="F38" s="325">
        <v>65076</v>
      </c>
      <c r="G38" s="325">
        <v>97614</v>
      </c>
      <c r="H38" s="325">
        <v>130152</v>
      </c>
      <c r="I38" s="130">
        <f t="shared" si="0"/>
        <v>21674.03</v>
      </c>
      <c r="J38" s="131">
        <f t="shared" si="1"/>
        <v>0.19980121309423471</v>
      </c>
      <c r="K38" s="426" t="s">
        <v>646</v>
      </c>
    </row>
    <row r="39" spans="1:11" x14ac:dyDescent="0.2">
      <c r="A39" s="146">
        <v>1112</v>
      </c>
      <c r="B39" s="147" t="s">
        <v>329</v>
      </c>
      <c r="C39" s="343">
        <v>7732759.4699999997</v>
      </c>
      <c r="D39" s="325">
        <v>7910613.1099999994</v>
      </c>
      <c r="E39" s="325">
        <v>1872880.67</v>
      </c>
      <c r="F39" s="325">
        <v>4008076.59</v>
      </c>
      <c r="G39" s="325">
        <v>6182937.2000000002</v>
      </c>
      <c r="H39" s="325">
        <v>8215337.7300000004</v>
      </c>
      <c r="I39" s="130">
        <f t="shared" si="0"/>
        <v>304724.62000000104</v>
      </c>
      <c r="J39" s="131">
        <f t="shared" si="1"/>
        <v>3.8520986396716986E-2</v>
      </c>
      <c r="K39" s="282"/>
    </row>
    <row r="40" spans="1:11" s="127" customFormat="1" ht="19.5" x14ac:dyDescent="0.2">
      <c r="A40" s="120">
        <v>1140</v>
      </c>
      <c r="B40" s="148" t="s">
        <v>155</v>
      </c>
      <c r="C40" s="324">
        <v>3202080.4200000004</v>
      </c>
      <c r="D40" s="324">
        <v>2685824.8500000006</v>
      </c>
      <c r="E40" s="324">
        <v>635193.13</v>
      </c>
      <c r="F40" s="324">
        <v>1425345.5999999999</v>
      </c>
      <c r="G40" s="324">
        <v>2079145.0879999998</v>
      </c>
      <c r="H40" s="324">
        <v>2831272.1979999999</v>
      </c>
      <c r="I40" s="122">
        <f t="shared" si="0"/>
        <v>145447.3479999993</v>
      </c>
      <c r="J40" s="123">
        <f t="shared" si="1"/>
        <v>5.415369807156236E-2</v>
      </c>
      <c r="K40" s="124"/>
    </row>
    <row r="41" spans="1:11" s="127" customFormat="1" x14ac:dyDescent="0.2">
      <c r="A41" s="146">
        <v>1141</v>
      </c>
      <c r="B41" s="149" t="s">
        <v>148</v>
      </c>
      <c r="C41" s="343">
        <v>504360.18</v>
      </c>
      <c r="D41" s="325">
        <v>501487.29999999993</v>
      </c>
      <c r="E41" s="325">
        <v>124105.91</v>
      </c>
      <c r="F41" s="325">
        <v>258199.36000000002</v>
      </c>
      <c r="G41" s="325">
        <v>382452.44799999997</v>
      </c>
      <c r="H41" s="325">
        <v>520626.41800000001</v>
      </c>
      <c r="I41" s="130">
        <f t="shared" si="0"/>
        <v>19139.118000000075</v>
      </c>
      <c r="J41" s="131">
        <f t="shared" si="1"/>
        <v>3.8164711249916154E-2</v>
      </c>
      <c r="K41" s="282"/>
    </row>
    <row r="42" spans="1:11" s="127" customFormat="1" ht="37.5" x14ac:dyDescent="0.2">
      <c r="A42" s="146">
        <v>1142</v>
      </c>
      <c r="B42" s="149" t="s">
        <v>26</v>
      </c>
      <c r="C42" s="343">
        <v>653937.4</v>
      </c>
      <c r="D42" s="325">
        <v>640336.63</v>
      </c>
      <c r="E42" s="325">
        <v>123004.92</v>
      </c>
      <c r="F42" s="325">
        <v>340144.64000000001</v>
      </c>
      <c r="G42" s="325">
        <v>475217.58999999997</v>
      </c>
      <c r="H42" s="325">
        <v>663421.05000000005</v>
      </c>
      <c r="I42" s="130">
        <f t="shared" si="0"/>
        <v>23084.420000000042</v>
      </c>
      <c r="J42" s="131">
        <f t="shared" si="1"/>
        <v>3.6050444279597187E-2</v>
      </c>
      <c r="K42" s="282"/>
    </row>
    <row r="43" spans="1:11" s="127" customFormat="1" x14ac:dyDescent="0.2">
      <c r="A43" s="146">
        <v>1144</v>
      </c>
      <c r="B43" s="149" t="s">
        <v>27</v>
      </c>
      <c r="C43" s="343">
        <v>0</v>
      </c>
      <c r="D43" s="325">
        <v>0</v>
      </c>
      <c r="E43" s="325">
        <v>0</v>
      </c>
      <c r="F43" s="325">
        <v>0</v>
      </c>
      <c r="G43" s="325">
        <v>0</v>
      </c>
      <c r="H43" s="325">
        <v>0</v>
      </c>
      <c r="I43" s="130">
        <f t="shared" si="0"/>
        <v>0</v>
      </c>
      <c r="J43" s="131" t="str">
        <f t="shared" si="1"/>
        <v>-</v>
      </c>
      <c r="K43" s="282"/>
    </row>
    <row r="44" spans="1:11" s="127" customFormat="1" ht="112.5" x14ac:dyDescent="0.2">
      <c r="A44" s="146">
        <v>1145</v>
      </c>
      <c r="B44" s="149" t="s">
        <v>156</v>
      </c>
      <c r="C44" s="343">
        <v>1191509.76</v>
      </c>
      <c r="D44" s="325">
        <v>1216624.06</v>
      </c>
      <c r="E44" s="325">
        <v>321104.93</v>
      </c>
      <c r="F44" s="325">
        <v>652849.43999999994</v>
      </c>
      <c r="G44" s="325">
        <v>980810.62999999989</v>
      </c>
      <c r="H44" s="325">
        <v>1317980.8299999998</v>
      </c>
      <c r="I44" s="130">
        <f t="shared" si="0"/>
        <v>101356.76999999979</v>
      </c>
      <c r="J44" s="131">
        <f t="shared" si="1"/>
        <v>8.330985168910747E-2</v>
      </c>
      <c r="K44" s="426" t="s">
        <v>665</v>
      </c>
    </row>
    <row r="45" spans="1:11" s="127" customFormat="1" ht="37.5" x14ac:dyDescent="0.2">
      <c r="A45" s="146">
        <v>1146</v>
      </c>
      <c r="B45" s="149" t="s">
        <v>28</v>
      </c>
      <c r="C45" s="343">
        <v>64555.7</v>
      </c>
      <c r="D45" s="325">
        <v>67936.89</v>
      </c>
      <c r="E45" s="325">
        <v>16248.94</v>
      </c>
      <c r="F45" s="325">
        <v>34853.15</v>
      </c>
      <c r="G45" s="325">
        <v>51863.51</v>
      </c>
      <c r="H45" s="325">
        <v>70403.95</v>
      </c>
      <c r="I45" s="130">
        <f t="shared" si="0"/>
        <v>2467.0599999999977</v>
      </c>
      <c r="J45" s="131">
        <f t="shared" si="1"/>
        <v>3.6313996710770798E-2</v>
      </c>
      <c r="K45" s="282"/>
    </row>
    <row r="46" spans="1:11" s="127" customFormat="1" x14ac:dyDescent="0.2">
      <c r="A46" s="146">
        <v>1147</v>
      </c>
      <c r="B46" s="149" t="s">
        <v>29</v>
      </c>
      <c r="C46" s="343">
        <v>83674.180000000008</v>
      </c>
      <c r="D46" s="325">
        <v>79855.839999999997</v>
      </c>
      <c r="E46" s="325">
        <v>18994.150000000001</v>
      </c>
      <c r="F46" s="325">
        <v>39565.17</v>
      </c>
      <c r="G46" s="325">
        <v>59484.639999999999</v>
      </c>
      <c r="H46" s="325">
        <v>80902.52</v>
      </c>
      <c r="I46" s="130">
        <f t="shared" si="0"/>
        <v>1046.6800000000076</v>
      </c>
      <c r="J46" s="131">
        <f t="shared" si="1"/>
        <v>1.3107119028489433E-2</v>
      </c>
      <c r="K46" s="282"/>
    </row>
    <row r="47" spans="1:11" s="127" customFormat="1" ht="93.75" x14ac:dyDescent="0.2">
      <c r="A47" s="146">
        <v>1148</v>
      </c>
      <c r="B47" s="149" t="s">
        <v>157</v>
      </c>
      <c r="C47" s="343">
        <v>574986</v>
      </c>
      <c r="D47" s="325">
        <v>54714.2</v>
      </c>
      <c r="E47" s="325">
        <v>2937.56</v>
      </c>
      <c r="F47" s="325">
        <v>46037.56</v>
      </c>
      <c r="G47" s="325">
        <v>47419.759999999995</v>
      </c>
      <c r="H47" s="325">
        <v>57651.759999999995</v>
      </c>
      <c r="I47" s="130">
        <f t="shared" si="0"/>
        <v>2937.5599999999977</v>
      </c>
      <c r="J47" s="131">
        <f t="shared" si="1"/>
        <v>5.3689170270240595E-2</v>
      </c>
      <c r="K47" s="426" t="s">
        <v>666</v>
      </c>
    </row>
    <row r="48" spans="1:11" s="127" customFormat="1" ht="37.5" x14ac:dyDescent="0.2">
      <c r="A48" s="146">
        <v>1149</v>
      </c>
      <c r="B48" s="149" t="s">
        <v>30</v>
      </c>
      <c r="C48" s="342">
        <v>129057.2</v>
      </c>
      <c r="D48" s="325">
        <v>124869.93</v>
      </c>
      <c r="E48" s="326">
        <v>28796.719999999998</v>
      </c>
      <c r="F48" s="326">
        <v>53696.28</v>
      </c>
      <c r="G48" s="326">
        <v>81896.509999999995</v>
      </c>
      <c r="H48" s="326">
        <v>120285.66999999998</v>
      </c>
      <c r="I48" s="118">
        <f t="shared" si="0"/>
        <v>-4584.2600000000093</v>
      </c>
      <c r="J48" s="150">
        <f t="shared" si="1"/>
        <v>-3.6712281331462343E-2</v>
      </c>
      <c r="K48" s="282"/>
    </row>
    <row r="49" spans="1:11" s="127" customFormat="1" ht="56.25" x14ac:dyDescent="0.2">
      <c r="A49" s="144">
        <v>1150</v>
      </c>
      <c r="B49" s="151" t="s">
        <v>31</v>
      </c>
      <c r="C49" s="343">
        <v>67068.5</v>
      </c>
      <c r="D49" s="333">
        <v>60879.799999999996</v>
      </c>
      <c r="E49" s="325">
        <v>19975.510000000002</v>
      </c>
      <c r="F49" s="325">
        <v>34009.32</v>
      </c>
      <c r="G49" s="325">
        <v>49333.85</v>
      </c>
      <c r="H49" s="325">
        <v>63801.399999999994</v>
      </c>
      <c r="I49" s="130">
        <f t="shared" si="0"/>
        <v>2921.5999999999985</v>
      </c>
      <c r="J49" s="131">
        <f t="shared" si="1"/>
        <v>4.7989645169662164E-2</v>
      </c>
      <c r="K49" s="282"/>
    </row>
    <row r="50" spans="1:11" s="127" customFormat="1" ht="19.5" x14ac:dyDescent="0.2">
      <c r="A50" s="144">
        <v>1170</v>
      </c>
      <c r="B50" s="152" t="s">
        <v>32</v>
      </c>
      <c r="C50" s="345">
        <v>0</v>
      </c>
      <c r="D50" s="328">
        <v>0</v>
      </c>
      <c r="E50" s="328">
        <v>0</v>
      </c>
      <c r="F50" s="328">
        <v>0</v>
      </c>
      <c r="G50" s="328">
        <v>0</v>
      </c>
      <c r="H50" s="328">
        <v>0</v>
      </c>
      <c r="I50" s="135">
        <f t="shared" si="0"/>
        <v>0</v>
      </c>
      <c r="J50" s="136" t="str">
        <f t="shared" si="1"/>
        <v>-</v>
      </c>
      <c r="K50" s="420"/>
    </row>
    <row r="51" spans="1:11" s="127" customFormat="1" ht="56.25" x14ac:dyDescent="0.2">
      <c r="A51" s="120">
        <v>1200</v>
      </c>
      <c r="B51" s="148" t="s">
        <v>33</v>
      </c>
      <c r="C51" s="347">
        <v>2807644.2800000003</v>
      </c>
      <c r="D51" s="324">
        <v>2584468.1899999995</v>
      </c>
      <c r="E51" s="324">
        <v>623590.42658999993</v>
      </c>
      <c r="F51" s="324">
        <v>1319707.9182099998</v>
      </c>
      <c r="G51" s="324">
        <v>2026879.6350499999</v>
      </c>
      <c r="H51" s="324">
        <v>2714278.0663000001</v>
      </c>
      <c r="I51" s="122">
        <f t="shared" si="0"/>
        <v>129809.87630000059</v>
      </c>
      <c r="J51" s="123">
        <f t="shared" si="1"/>
        <v>5.0226919720764915E-2</v>
      </c>
      <c r="K51" s="124"/>
    </row>
    <row r="52" spans="1:11" s="127" customFormat="1" ht="37.5" x14ac:dyDescent="0.2">
      <c r="A52" s="144">
        <v>1210</v>
      </c>
      <c r="B52" s="151" t="s">
        <v>34</v>
      </c>
      <c r="C52" s="345">
        <v>2719890.2800000003</v>
      </c>
      <c r="D52" s="328">
        <v>2481840.62</v>
      </c>
      <c r="E52" s="328">
        <v>595100.2916</v>
      </c>
      <c r="F52" s="328">
        <v>1272718.91998</v>
      </c>
      <c r="G52" s="328">
        <v>1947533.6328899998</v>
      </c>
      <c r="H52" s="328">
        <v>2596419.5236399993</v>
      </c>
      <c r="I52" s="135">
        <f t="shared" si="0"/>
        <v>114578.90363999922</v>
      </c>
      <c r="J52" s="136">
        <f t="shared" si="1"/>
        <v>4.6166906414804032E-2</v>
      </c>
      <c r="K52" s="282"/>
    </row>
    <row r="53" spans="1:11" s="127" customFormat="1" ht="37.5" x14ac:dyDescent="0.2">
      <c r="A53" s="153">
        <v>1220</v>
      </c>
      <c r="B53" s="154" t="s">
        <v>35</v>
      </c>
      <c r="C53" s="348">
        <v>87754</v>
      </c>
      <c r="D53" s="334">
        <v>102627.57</v>
      </c>
      <c r="E53" s="334">
        <v>28490.134989999999</v>
      </c>
      <c r="F53" s="334">
        <v>46988.998229999997</v>
      </c>
      <c r="G53" s="334">
        <v>79346.002160000004</v>
      </c>
      <c r="H53" s="334">
        <v>117858.54265999999</v>
      </c>
      <c r="I53" s="155">
        <f t="shared" si="0"/>
        <v>15230.972659999985</v>
      </c>
      <c r="J53" s="156">
        <f t="shared" si="1"/>
        <v>0.14841014612350253</v>
      </c>
      <c r="K53" s="421"/>
    </row>
    <row r="54" spans="1:11" s="127" customFormat="1" ht="168.75" x14ac:dyDescent="0.2">
      <c r="A54" s="146">
        <v>1221</v>
      </c>
      <c r="B54" s="149" t="s">
        <v>36</v>
      </c>
      <c r="C54" s="343">
        <v>87634</v>
      </c>
      <c r="D54" s="325">
        <v>102467.57</v>
      </c>
      <c r="E54" s="325">
        <v>28490.134989999999</v>
      </c>
      <c r="F54" s="325">
        <v>46928.998229999997</v>
      </c>
      <c r="G54" s="325">
        <v>79226.002160000004</v>
      </c>
      <c r="H54" s="325">
        <v>117698.54265999999</v>
      </c>
      <c r="I54" s="130">
        <f t="shared" si="0"/>
        <v>15230.972659999985</v>
      </c>
      <c r="J54" s="131">
        <f t="shared" si="1"/>
        <v>0.14864188406146436</v>
      </c>
      <c r="K54" s="426" t="s">
        <v>667</v>
      </c>
    </row>
    <row r="55" spans="1:11" s="127" customFormat="1" ht="37.5" hidden="1" x14ac:dyDescent="0.2">
      <c r="A55" s="146">
        <v>1222</v>
      </c>
      <c r="B55" s="149" t="s">
        <v>37</v>
      </c>
      <c r="C55" s="343">
        <v>0</v>
      </c>
      <c r="D55" s="325">
        <v>0</v>
      </c>
      <c r="E55" s="325">
        <v>0</v>
      </c>
      <c r="F55" s="325">
        <v>0</v>
      </c>
      <c r="G55" s="325">
        <v>0</v>
      </c>
      <c r="H55" s="325">
        <v>0</v>
      </c>
      <c r="I55" s="130">
        <f t="shared" si="0"/>
        <v>0</v>
      </c>
      <c r="J55" s="131" t="str">
        <f t="shared" si="1"/>
        <v>-</v>
      </c>
      <c r="K55" s="282"/>
    </row>
    <row r="56" spans="1:11" s="127" customFormat="1" hidden="1" x14ac:dyDescent="0.2">
      <c r="A56" s="146">
        <v>1223</v>
      </c>
      <c r="B56" s="157" t="s">
        <v>38</v>
      </c>
      <c r="C56" s="343">
        <v>0</v>
      </c>
      <c r="D56" s="325">
        <v>0</v>
      </c>
      <c r="E56" s="325">
        <v>0</v>
      </c>
      <c r="F56" s="325">
        <v>0</v>
      </c>
      <c r="G56" s="325">
        <v>0</v>
      </c>
      <c r="H56" s="325">
        <v>0</v>
      </c>
      <c r="I56" s="130">
        <f t="shared" si="0"/>
        <v>0</v>
      </c>
      <c r="J56" s="131" t="str">
        <f t="shared" si="1"/>
        <v>-</v>
      </c>
      <c r="K56" s="282"/>
    </row>
    <row r="57" spans="1:11" s="127" customFormat="1" ht="37.5" hidden="1" x14ac:dyDescent="0.2">
      <c r="A57" s="146">
        <v>1227</v>
      </c>
      <c r="B57" s="149" t="s">
        <v>39</v>
      </c>
      <c r="C57" s="343">
        <v>0</v>
      </c>
      <c r="D57" s="325">
        <v>0</v>
      </c>
      <c r="E57" s="325">
        <v>0</v>
      </c>
      <c r="F57" s="325">
        <v>0</v>
      </c>
      <c r="G57" s="325">
        <v>0</v>
      </c>
      <c r="H57" s="325">
        <v>0</v>
      </c>
      <c r="I57" s="130">
        <f t="shared" si="0"/>
        <v>0</v>
      </c>
      <c r="J57" s="131" t="str">
        <f t="shared" si="1"/>
        <v>-</v>
      </c>
      <c r="K57" s="282"/>
    </row>
    <row r="58" spans="1:11" s="127" customFormat="1" ht="75" x14ac:dyDescent="0.2">
      <c r="A58" s="146">
        <v>1228</v>
      </c>
      <c r="B58" s="149" t="s">
        <v>333</v>
      </c>
      <c r="C58" s="343">
        <v>120</v>
      </c>
      <c r="D58" s="325">
        <v>160</v>
      </c>
      <c r="E58" s="325">
        <v>0</v>
      </c>
      <c r="F58" s="325">
        <v>60</v>
      </c>
      <c r="G58" s="325">
        <v>120</v>
      </c>
      <c r="H58" s="325">
        <v>160</v>
      </c>
      <c r="I58" s="130">
        <f t="shared" si="0"/>
        <v>0</v>
      </c>
      <c r="J58" s="131">
        <f t="shared" si="1"/>
        <v>0</v>
      </c>
      <c r="K58" s="282"/>
    </row>
    <row r="59" spans="1:11" s="127" customFormat="1" ht="19.5" x14ac:dyDescent="0.2">
      <c r="A59" s="120">
        <v>2000</v>
      </c>
      <c r="B59" s="126" t="s">
        <v>40</v>
      </c>
      <c r="C59" s="341">
        <v>7504454.0703000007</v>
      </c>
      <c r="D59" s="324">
        <v>7831342.9199999999</v>
      </c>
      <c r="E59" s="324">
        <v>1978993.0422273008</v>
      </c>
      <c r="F59" s="324">
        <v>4113954.686573477</v>
      </c>
      <c r="G59" s="324">
        <v>6433468.0847114939</v>
      </c>
      <c r="H59" s="324">
        <v>8785607.2657442428</v>
      </c>
      <c r="I59" s="122">
        <f t="shared" si="0"/>
        <v>954264.34574424289</v>
      </c>
      <c r="J59" s="123">
        <f t="shared" si="1"/>
        <v>0.12185194231594738</v>
      </c>
      <c r="K59" s="124"/>
    </row>
    <row r="60" spans="1:11" s="127" customFormat="1" ht="37.5" x14ac:dyDescent="0.2">
      <c r="A60" s="120">
        <v>2100</v>
      </c>
      <c r="B60" s="126" t="s">
        <v>158</v>
      </c>
      <c r="C60" s="341">
        <v>495</v>
      </c>
      <c r="D60" s="324">
        <v>278.26</v>
      </c>
      <c r="E60" s="324">
        <v>1008.26</v>
      </c>
      <c r="F60" s="324">
        <v>1008.26</v>
      </c>
      <c r="G60" s="324">
        <v>1278.26</v>
      </c>
      <c r="H60" s="324">
        <v>1278.26</v>
      </c>
      <c r="I60" s="122">
        <f t="shared" si="0"/>
        <v>1000</v>
      </c>
      <c r="J60" s="123">
        <f t="shared" si="1"/>
        <v>3.5937612305038455</v>
      </c>
      <c r="K60" s="124"/>
    </row>
    <row r="61" spans="1:11" s="127" customFormat="1" ht="37.5" x14ac:dyDescent="0.2">
      <c r="A61" s="158">
        <v>2110</v>
      </c>
      <c r="B61" s="126" t="s">
        <v>41</v>
      </c>
      <c r="C61" s="341">
        <v>200</v>
      </c>
      <c r="D61" s="324">
        <v>8.26</v>
      </c>
      <c r="E61" s="324">
        <v>8.26</v>
      </c>
      <c r="F61" s="324">
        <v>8.26</v>
      </c>
      <c r="G61" s="324">
        <v>8.26</v>
      </c>
      <c r="H61" s="324">
        <v>8.26</v>
      </c>
      <c r="I61" s="122">
        <f t="shared" si="0"/>
        <v>0</v>
      </c>
      <c r="J61" s="123">
        <f t="shared" si="1"/>
        <v>0</v>
      </c>
      <c r="K61" s="124"/>
    </row>
    <row r="62" spans="1:11" s="127" customFormat="1" x14ac:dyDescent="0.2">
      <c r="A62" s="146">
        <v>2111</v>
      </c>
      <c r="B62" s="129" t="s">
        <v>42</v>
      </c>
      <c r="C62" s="343">
        <v>0</v>
      </c>
      <c r="D62" s="325">
        <v>0</v>
      </c>
      <c r="E62" s="325">
        <v>0</v>
      </c>
      <c r="F62" s="325">
        <v>0</v>
      </c>
      <c r="G62" s="325">
        <v>0</v>
      </c>
      <c r="H62" s="325">
        <v>0</v>
      </c>
      <c r="I62" s="130">
        <f t="shared" si="0"/>
        <v>0</v>
      </c>
      <c r="J62" s="131" t="str">
        <f t="shared" si="1"/>
        <v>-</v>
      </c>
      <c r="K62" s="35"/>
    </row>
    <row r="63" spans="1:11" s="159" customFormat="1" ht="37.5" x14ac:dyDescent="0.2">
      <c r="A63" s="146">
        <v>2112</v>
      </c>
      <c r="B63" s="129" t="s">
        <v>421</v>
      </c>
      <c r="C63" s="343">
        <v>200</v>
      </c>
      <c r="D63" s="325">
        <v>8.26</v>
      </c>
      <c r="E63" s="325">
        <v>8.26</v>
      </c>
      <c r="F63" s="325">
        <v>8.26</v>
      </c>
      <c r="G63" s="325">
        <v>8.26</v>
      </c>
      <c r="H63" s="325">
        <v>8.26</v>
      </c>
      <c r="I63" s="130">
        <f t="shared" si="0"/>
        <v>0</v>
      </c>
      <c r="J63" s="131">
        <f t="shared" si="1"/>
        <v>0</v>
      </c>
      <c r="K63" s="35"/>
    </row>
    <row r="64" spans="1:11" s="127" customFormat="1" ht="37.5" x14ac:dyDescent="0.2">
      <c r="A64" s="158">
        <v>2120</v>
      </c>
      <c r="B64" s="126" t="s">
        <v>43</v>
      </c>
      <c r="C64" s="341">
        <v>295</v>
      </c>
      <c r="D64" s="324">
        <v>270</v>
      </c>
      <c r="E64" s="324">
        <v>1000</v>
      </c>
      <c r="F64" s="324">
        <v>1000</v>
      </c>
      <c r="G64" s="324">
        <v>1270</v>
      </c>
      <c r="H64" s="324">
        <v>1270</v>
      </c>
      <c r="I64" s="122">
        <f t="shared" si="0"/>
        <v>1000</v>
      </c>
      <c r="J64" s="123">
        <f t="shared" si="1"/>
        <v>3.7037037037037037</v>
      </c>
      <c r="K64" s="124"/>
    </row>
    <row r="65" spans="1:11" s="127" customFormat="1" x14ac:dyDescent="0.2">
      <c r="A65" s="146">
        <v>2121</v>
      </c>
      <c r="B65" s="129" t="s">
        <v>42</v>
      </c>
      <c r="C65" s="343">
        <v>0</v>
      </c>
      <c r="D65" s="325">
        <v>0</v>
      </c>
      <c r="E65" s="325">
        <v>0</v>
      </c>
      <c r="F65" s="325">
        <v>0</v>
      </c>
      <c r="G65" s="325">
        <v>0</v>
      </c>
      <c r="H65" s="325">
        <v>0</v>
      </c>
      <c r="I65" s="130">
        <f t="shared" si="0"/>
        <v>0</v>
      </c>
      <c r="J65" s="131" t="str">
        <f t="shared" si="1"/>
        <v>-</v>
      </c>
      <c r="K65" s="35"/>
    </row>
    <row r="66" spans="1:11" s="159" customFormat="1" ht="37.5" x14ac:dyDescent="0.2">
      <c r="A66" s="146">
        <v>2122</v>
      </c>
      <c r="B66" s="129" t="s">
        <v>421</v>
      </c>
      <c r="C66" s="343">
        <v>295</v>
      </c>
      <c r="D66" s="325">
        <v>270</v>
      </c>
      <c r="E66" s="325">
        <v>1000</v>
      </c>
      <c r="F66" s="325">
        <v>1000</v>
      </c>
      <c r="G66" s="325">
        <v>1270</v>
      </c>
      <c r="H66" s="325">
        <v>1270</v>
      </c>
      <c r="I66" s="130">
        <f t="shared" si="0"/>
        <v>1000</v>
      </c>
      <c r="J66" s="131">
        <f t="shared" si="1"/>
        <v>3.7037037037037037</v>
      </c>
      <c r="K66" s="426" t="s">
        <v>663</v>
      </c>
    </row>
    <row r="67" spans="1:11" s="127" customFormat="1" ht="19.5" x14ac:dyDescent="0.2">
      <c r="A67" s="120">
        <v>2200</v>
      </c>
      <c r="B67" s="148" t="s">
        <v>44</v>
      </c>
      <c r="C67" s="324">
        <v>1679774.6540000001</v>
      </c>
      <c r="D67" s="324">
        <v>1671880.5999999999</v>
      </c>
      <c r="E67" s="324">
        <v>518598.29459999991</v>
      </c>
      <c r="F67" s="324">
        <v>940257.70957133325</v>
      </c>
      <c r="G67" s="324">
        <v>1620502.6227976666</v>
      </c>
      <c r="H67" s="324">
        <v>2263200.2084319997</v>
      </c>
      <c r="I67" s="122">
        <f t="shared" ref="I67:I130" si="2">H67-D67</f>
        <v>591319.6084319998</v>
      </c>
      <c r="J67" s="123">
        <f t="shared" ref="J67:J130" si="3">IFERROR(I67/ABS(D67), "-")</f>
        <v>0.35368531008255005</v>
      </c>
      <c r="K67" s="124"/>
    </row>
    <row r="68" spans="1:11" s="127" customFormat="1" ht="19.5" x14ac:dyDescent="0.2">
      <c r="A68" s="158">
        <v>2210</v>
      </c>
      <c r="B68" s="160" t="s">
        <v>422</v>
      </c>
      <c r="C68" s="327">
        <v>23106</v>
      </c>
      <c r="D68" s="327">
        <v>18621.519999999997</v>
      </c>
      <c r="E68" s="327">
        <v>4602.18</v>
      </c>
      <c r="F68" s="327">
        <v>8154.7199999999993</v>
      </c>
      <c r="G68" s="327">
        <v>15630.189999999999</v>
      </c>
      <c r="H68" s="327">
        <v>18827.87</v>
      </c>
      <c r="I68" s="122">
        <f t="shared" si="2"/>
        <v>206.35000000000218</v>
      </c>
      <c r="J68" s="123">
        <f t="shared" si="3"/>
        <v>1.1081265116918608E-2</v>
      </c>
      <c r="K68" s="34"/>
    </row>
    <row r="69" spans="1:11" s="127" customFormat="1" ht="37.5" x14ac:dyDescent="0.2">
      <c r="A69" s="158">
        <v>2220</v>
      </c>
      <c r="B69" s="148" t="s">
        <v>45</v>
      </c>
      <c r="C69" s="324">
        <v>463696.36800000002</v>
      </c>
      <c r="D69" s="324">
        <v>615430.94999999995</v>
      </c>
      <c r="E69" s="324">
        <v>316555.85459999996</v>
      </c>
      <c r="F69" s="324">
        <v>488486.1995713333</v>
      </c>
      <c r="G69" s="324">
        <v>648188.9929976667</v>
      </c>
      <c r="H69" s="324">
        <v>1024424.8227319999</v>
      </c>
      <c r="I69" s="122">
        <f t="shared" si="2"/>
        <v>408993.87273199996</v>
      </c>
      <c r="J69" s="123">
        <f t="shared" si="3"/>
        <v>0.66456500559810971</v>
      </c>
      <c r="K69" s="124"/>
    </row>
    <row r="70" spans="1:11" s="127" customFormat="1" ht="56.25" x14ac:dyDescent="0.2">
      <c r="A70" s="146">
        <v>2221</v>
      </c>
      <c r="B70" s="149" t="s">
        <v>423</v>
      </c>
      <c r="C70" s="325">
        <v>169142.12700000004</v>
      </c>
      <c r="D70" s="325">
        <v>301011.88999999996</v>
      </c>
      <c r="E70" s="326">
        <v>231331.87</v>
      </c>
      <c r="F70" s="326">
        <v>286573.56783333333</v>
      </c>
      <c r="G70" s="326">
        <v>326398.06576666667</v>
      </c>
      <c r="H70" s="326">
        <v>522918.12349999999</v>
      </c>
      <c r="I70" s="130">
        <f t="shared" si="2"/>
        <v>221906.23350000003</v>
      </c>
      <c r="J70" s="131">
        <f t="shared" si="3"/>
        <v>0.7372008909681278</v>
      </c>
      <c r="K70" s="426" t="s">
        <v>651</v>
      </c>
    </row>
    <row r="71" spans="1:11" s="159" customFormat="1" ht="19.5" x14ac:dyDescent="0.2">
      <c r="A71" s="146">
        <v>2222</v>
      </c>
      <c r="B71" s="149" t="s">
        <v>424</v>
      </c>
      <c r="C71" s="325">
        <v>29938.710000000006</v>
      </c>
      <c r="D71" s="325">
        <v>27448.09</v>
      </c>
      <c r="E71" s="326">
        <v>7749.1621000000005</v>
      </c>
      <c r="F71" s="326">
        <v>15628.868100000002</v>
      </c>
      <c r="G71" s="326">
        <v>21952.069000000003</v>
      </c>
      <c r="H71" s="326">
        <v>28111.036400000005</v>
      </c>
      <c r="I71" s="130">
        <f t="shared" si="2"/>
        <v>662.94640000000436</v>
      </c>
      <c r="J71" s="131">
        <f t="shared" si="3"/>
        <v>2.415273339602152E-2</v>
      </c>
      <c r="K71" s="35"/>
    </row>
    <row r="72" spans="1:11" s="127" customFormat="1" ht="93.75" x14ac:dyDescent="0.2">
      <c r="A72" s="146">
        <v>2223</v>
      </c>
      <c r="B72" s="149" t="s">
        <v>46</v>
      </c>
      <c r="C72" s="325">
        <v>207273.16499999998</v>
      </c>
      <c r="D72" s="325">
        <v>228063.68999999997</v>
      </c>
      <c r="E72" s="326">
        <v>59771.96</v>
      </c>
      <c r="F72" s="326">
        <v>151090.43863799999</v>
      </c>
      <c r="G72" s="326">
        <v>246582.90823100001</v>
      </c>
      <c r="H72" s="326">
        <v>399772.475332</v>
      </c>
      <c r="I72" s="130">
        <f t="shared" si="2"/>
        <v>171708.78533200003</v>
      </c>
      <c r="J72" s="131">
        <f t="shared" si="3"/>
        <v>0.75289839137479553</v>
      </c>
      <c r="K72" s="426" t="s">
        <v>664</v>
      </c>
    </row>
    <row r="73" spans="1:11" s="127" customFormat="1" ht="56.25" x14ac:dyDescent="0.2">
      <c r="A73" s="146">
        <v>2224</v>
      </c>
      <c r="B73" s="149" t="s">
        <v>159</v>
      </c>
      <c r="C73" s="325">
        <v>57342.366000000009</v>
      </c>
      <c r="D73" s="325">
        <v>58907.280000000006</v>
      </c>
      <c r="E73" s="326">
        <v>17702.862499999999</v>
      </c>
      <c r="F73" s="326">
        <v>35193.324999999997</v>
      </c>
      <c r="G73" s="326">
        <v>53255.95</v>
      </c>
      <c r="H73" s="326">
        <v>73623.1875</v>
      </c>
      <c r="I73" s="130">
        <f t="shared" si="2"/>
        <v>14715.907499999994</v>
      </c>
      <c r="J73" s="131">
        <f t="shared" si="3"/>
        <v>0.24981475124976052</v>
      </c>
      <c r="K73" s="426" t="s">
        <v>652</v>
      </c>
    </row>
    <row r="74" spans="1:11" s="127" customFormat="1" ht="37.5" x14ac:dyDescent="0.2">
      <c r="A74" s="146">
        <v>2229</v>
      </c>
      <c r="B74" s="149" t="s">
        <v>47</v>
      </c>
      <c r="C74" s="325">
        <v>0</v>
      </c>
      <c r="D74" s="325">
        <v>0</v>
      </c>
      <c r="E74" s="325">
        <v>0</v>
      </c>
      <c r="F74" s="325">
        <v>0</v>
      </c>
      <c r="G74" s="325">
        <v>0</v>
      </c>
      <c r="H74" s="325">
        <v>0</v>
      </c>
      <c r="I74" s="130">
        <f t="shared" si="2"/>
        <v>0</v>
      </c>
      <c r="J74" s="131" t="str">
        <f t="shared" si="3"/>
        <v>-</v>
      </c>
      <c r="K74" s="35"/>
    </row>
    <row r="75" spans="1:11" s="127" customFormat="1" ht="19.5" x14ac:dyDescent="0.2">
      <c r="A75" s="158">
        <v>2230</v>
      </c>
      <c r="B75" s="148" t="s">
        <v>425</v>
      </c>
      <c r="C75" s="324">
        <v>488214.35799999995</v>
      </c>
      <c r="D75" s="324">
        <v>413345.17000000004</v>
      </c>
      <c r="E75" s="324">
        <v>103329.70999999999</v>
      </c>
      <c r="F75" s="324">
        <v>206148.87999999998</v>
      </c>
      <c r="G75" s="324">
        <v>305641.66979999997</v>
      </c>
      <c r="H75" s="324">
        <v>428127.5257</v>
      </c>
      <c r="I75" s="122">
        <f t="shared" si="2"/>
        <v>14782.355699999956</v>
      </c>
      <c r="J75" s="123">
        <f t="shared" si="3"/>
        <v>3.5762739649286224E-2</v>
      </c>
      <c r="K75" s="124"/>
    </row>
    <row r="76" spans="1:11" s="159" customFormat="1" ht="37.5" x14ac:dyDescent="0.2">
      <c r="A76" s="146">
        <v>2231</v>
      </c>
      <c r="B76" s="149" t="s">
        <v>426</v>
      </c>
      <c r="C76" s="343">
        <v>0</v>
      </c>
      <c r="D76" s="325">
        <v>0</v>
      </c>
      <c r="E76" s="325">
        <v>0</v>
      </c>
      <c r="F76" s="325">
        <v>0</v>
      </c>
      <c r="G76" s="325">
        <v>0</v>
      </c>
      <c r="H76" s="325">
        <v>0</v>
      </c>
      <c r="I76" s="130">
        <f t="shared" si="2"/>
        <v>0</v>
      </c>
      <c r="J76" s="131" t="str">
        <f t="shared" si="3"/>
        <v>-</v>
      </c>
      <c r="K76" s="35"/>
    </row>
    <row r="77" spans="1:11" s="127" customFormat="1" ht="37.5" hidden="1" x14ac:dyDescent="0.2">
      <c r="A77" s="146">
        <v>2232</v>
      </c>
      <c r="B77" s="149" t="s">
        <v>427</v>
      </c>
      <c r="C77" s="343">
        <v>0</v>
      </c>
      <c r="D77" s="325">
        <v>0</v>
      </c>
      <c r="E77" s="325">
        <v>0</v>
      </c>
      <c r="F77" s="325">
        <v>0</v>
      </c>
      <c r="G77" s="325">
        <v>0</v>
      </c>
      <c r="H77" s="325">
        <v>0</v>
      </c>
      <c r="I77" s="130">
        <f t="shared" si="2"/>
        <v>0</v>
      </c>
      <c r="J77" s="131" t="str">
        <f t="shared" si="3"/>
        <v>-</v>
      </c>
      <c r="K77" s="35"/>
    </row>
    <row r="78" spans="1:11" s="127" customFormat="1" ht="37.5" x14ac:dyDescent="0.2">
      <c r="A78" s="146">
        <v>2233</v>
      </c>
      <c r="B78" s="149" t="s">
        <v>48</v>
      </c>
      <c r="C78" s="343">
        <v>23022.57</v>
      </c>
      <c r="D78" s="325">
        <v>4017.31</v>
      </c>
      <c r="E78" s="325">
        <v>2945.42</v>
      </c>
      <c r="F78" s="325">
        <v>3138.12</v>
      </c>
      <c r="G78" s="325">
        <v>4329.2</v>
      </c>
      <c r="H78" s="325">
        <v>4835.33</v>
      </c>
      <c r="I78" s="130">
        <f t="shared" si="2"/>
        <v>818.02</v>
      </c>
      <c r="J78" s="131">
        <f t="shared" si="3"/>
        <v>0.20362381792791695</v>
      </c>
      <c r="K78" s="426" t="s">
        <v>672</v>
      </c>
    </row>
    <row r="79" spans="1:11" s="127" customFormat="1" ht="37.5" x14ac:dyDescent="0.2">
      <c r="A79" s="146">
        <v>2234</v>
      </c>
      <c r="B79" s="149" t="s">
        <v>49</v>
      </c>
      <c r="C79" s="343">
        <v>0</v>
      </c>
      <c r="D79" s="325">
        <v>0</v>
      </c>
      <c r="E79" s="325">
        <v>0</v>
      </c>
      <c r="F79" s="325">
        <v>0</v>
      </c>
      <c r="G79" s="325">
        <v>0</v>
      </c>
      <c r="H79" s="325">
        <v>0</v>
      </c>
      <c r="I79" s="130">
        <f t="shared" si="2"/>
        <v>0</v>
      </c>
      <c r="J79" s="131" t="str">
        <f t="shared" si="3"/>
        <v>-</v>
      </c>
      <c r="K79" s="35"/>
    </row>
    <row r="80" spans="1:11" s="127" customFormat="1" ht="37.5" x14ac:dyDescent="0.2">
      <c r="A80" s="146">
        <v>2235</v>
      </c>
      <c r="B80" s="149" t="s">
        <v>428</v>
      </c>
      <c r="C80" s="343">
        <v>4952.6499999999996</v>
      </c>
      <c r="D80" s="325">
        <v>564.55999999999995</v>
      </c>
      <c r="E80" s="325">
        <v>1000</v>
      </c>
      <c r="F80" s="325">
        <v>2500</v>
      </c>
      <c r="G80" s="325">
        <v>4000</v>
      </c>
      <c r="H80" s="325">
        <v>6000</v>
      </c>
      <c r="I80" s="130">
        <f t="shared" si="2"/>
        <v>5435.4400000000005</v>
      </c>
      <c r="J80" s="131">
        <f t="shared" si="3"/>
        <v>9.6277455009210726</v>
      </c>
      <c r="K80" s="426" t="s">
        <v>653</v>
      </c>
    </row>
    <row r="81" spans="1:11" s="127" customFormat="1" ht="37.5" x14ac:dyDescent="0.2">
      <c r="A81" s="146">
        <v>2236</v>
      </c>
      <c r="B81" s="149" t="s">
        <v>429</v>
      </c>
      <c r="C81" s="343">
        <v>5327.59</v>
      </c>
      <c r="D81" s="325">
        <v>8616.89</v>
      </c>
      <c r="E81" s="325">
        <v>2814</v>
      </c>
      <c r="F81" s="325">
        <v>5631</v>
      </c>
      <c r="G81" s="325">
        <v>8689.0298000000003</v>
      </c>
      <c r="H81" s="325">
        <v>11588.6657</v>
      </c>
      <c r="I81" s="130">
        <f t="shared" si="2"/>
        <v>2971.7757000000001</v>
      </c>
      <c r="J81" s="131">
        <f t="shared" si="3"/>
        <v>0.34487798962270616</v>
      </c>
      <c r="K81" s="426" t="s">
        <v>668</v>
      </c>
    </row>
    <row r="82" spans="1:11" s="127" customFormat="1" x14ac:dyDescent="0.2">
      <c r="A82" s="146">
        <v>2239</v>
      </c>
      <c r="B82" s="149" t="s">
        <v>430</v>
      </c>
      <c r="C82" s="343">
        <v>454911.54799999995</v>
      </c>
      <c r="D82" s="325">
        <v>400146.41</v>
      </c>
      <c r="E82" s="325">
        <v>96570.290000000008</v>
      </c>
      <c r="F82" s="325">
        <v>194879.75999999998</v>
      </c>
      <c r="G82" s="325">
        <v>288623.43999999994</v>
      </c>
      <c r="H82" s="325">
        <v>405703.52999999997</v>
      </c>
      <c r="I82" s="130">
        <f t="shared" si="2"/>
        <v>5557.1199999999953</v>
      </c>
      <c r="J82" s="131">
        <f t="shared" si="3"/>
        <v>1.3887716748477127E-2</v>
      </c>
      <c r="K82" s="430"/>
    </row>
    <row r="83" spans="1:11" s="159" customFormat="1" ht="37.5" x14ac:dyDescent="0.2">
      <c r="A83" s="158">
        <v>2240</v>
      </c>
      <c r="B83" s="148" t="s">
        <v>160</v>
      </c>
      <c r="C83" s="324">
        <v>454145.22800000006</v>
      </c>
      <c r="D83" s="324">
        <v>427724.12999999995</v>
      </c>
      <c r="E83" s="324">
        <v>37986.28</v>
      </c>
      <c r="F83" s="324">
        <v>114705.54</v>
      </c>
      <c r="G83" s="324">
        <v>476331.32000000007</v>
      </c>
      <c r="H83" s="324">
        <v>576692.89000000013</v>
      </c>
      <c r="I83" s="122">
        <f t="shared" si="2"/>
        <v>148968.76000000018</v>
      </c>
      <c r="J83" s="123">
        <f t="shared" si="3"/>
        <v>0.34828233796395869</v>
      </c>
      <c r="K83" s="124"/>
    </row>
    <row r="84" spans="1:11" s="127" customFormat="1" x14ac:dyDescent="0.2">
      <c r="A84" s="146">
        <v>2241</v>
      </c>
      <c r="B84" s="149" t="s">
        <v>431</v>
      </c>
      <c r="C84" s="325">
        <v>104000</v>
      </c>
      <c r="D84" s="325">
        <v>115825</v>
      </c>
      <c r="E84" s="325">
        <v>573</v>
      </c>
      <c r="F84" s="325">
        <v>573</v>
      </c>
      <c r="G84" s="325">
        <v>64573</v>
      </c>
      <c r="H84" s="325">
        <v>114573</v>
      </c>
      <c r="I84" s="130">
        <f t="shared" si="2"/>
        <v>-1252</v>
      </c>
      <c r="J84" s="131">
        <f t="shared" si="3"/>
        <v>-1.0809410748974747E-2</v>
      </c>
      <c r="K84" s="430"/>
    </row>
    <row r="85" spans="1:11" s="127" customFormat="1" ht="37.5" x14ac:dyDescent="0.2">
      <c r="A85" s="146">
        <v>2242</v>
      </c>
      <c r="B85" s="149" t="s">
        <v>50</v>
      </c>
      <c r="C85" s="325">
        <v>1616.4899999999998</v>
      </c>
      <c r="D85" s="325">
        <v>1123.26</v>
      </c>
      <c r="E85" s="325">
        <v>168.03</v>
      </c>
      <c r="F85" s="325">
        <v>834.19</v>
      </c>
      <c r="G85" s="325">
        <v>850.22</v>
      </c>
      <c r="H85" s="325">
        <v>894.42000000000007</v>
      </c>
      <c r="I85" s="130">
        <f t="shared" si="2"/>
        <v>-228.83999999999992</v>
      </c>
      <c r="J85" s="131">
        <f t="shared" si="3"/>
        <v>-0.20372843331018636</v>
      </c>
      <c r="K85" s="426" t="s">
        <v>671</v>
      </c>
    </row>
    <row r="86" spans="1:11" s="127" customFormat="1" ht="37.5" x14ac:dyDescent="0.2">
      <c r="A86" s="146">
        <v>2243</v>
      </c>
      <c r="B86" s="149" t="s">
        <v>51</v>
      </c>
      <c r="C86" s="325">
        <v>207818.88800000001</v>
      </c>
      <c r="D86" s="325">
        <v>186169.29</v>
      </c>
      <c r="E86" s="325">
        <v>28381.14</v>
      </c>
      <c r="F86" s="325">
        <v>87340.34</v>
      </c>
      <c r="G86" s="325">
        <v>139898.63</v>
      </c>
      <c r="H86" s="325">
        <v>184170.44</v>
      </c>
      <c r="I86" s="130">
        <f t="shared" si="2"/>
        <v>-1998.8500000000058</v>
      </c>
      <c r="J86" s="131">
        <f t="shared" si="3"/>
        <v>-1.0736733217385133E-2</v>
      </c>
      <c r="K86" s="430"/>
    </row>
    <row r="87" spans="1:11" s="127" customFormat="1" x14ac:dyDescent="0.2">
      <c r="A87" s="146">
        <v>2244</v>
      </c>
      <c r="B87" s="149" t="s">
        <v>161</v>
      </c>
      <c r="C87" s="325">
        <v>31344.940000000002</v>
      </c>
      <c r="D87" s="325">
        <v>20969.239999999998</v>
      </c>
      <c r="E87" s="325">
        <v>4309.34</v>
      </c>
      <c r="F87" s="325">
        <v>10076.39</v>
      </c>
      <c r="G87" s="325">
        <v>14893.529999999999</v>
      </c>
      <c r="H87" s="325">
        <v>20802.769999999997</v>
      </c>
      <c r="I87" s="130">
        <f t="shared" si="2"/>
        <v>-166.47000000000116</v>
      </c>
      <c r="J87" s="131">
        <f t="shared" si="3"/>
        <v>-7.9387712668652355E-3</v>
      </c>
      <c r="K87" s="430"/>
    </row>
    <row r="88" spans="1:11" s="127" customFormat="1" ht="37.5" x14ac:dyDescent="0.2">
      <c r="A88" s="146">
        <v>2247</v>
      </c>
      <c r="B88" s="149" t="s">
        <v>52</v>
      </c>
      <c r="C88" s="325">
        <v>2593.77</v>
      </c>
      <c r="D88" s="325">
        <v>2191.2600000000002</v>
      </c>
      <c r="E88" s="325">
        <v>664.77</v>
      </c>
      <c r="F88" s="325">
        <v>1991.6200000000001</v>
      </c>
      <c r="G88" s="325">
        <v>2225.9400000000005</v>
      </c>
      <c r="H88" s="325">
        <v>2362.2600000000007</v>
      </c>
      <c r="I88" s="130">
        <f t="shared" si="2"/>
        <v>171.00000000000045</v>
      </c>
      <c r="J88" s="131">
        <f t="shared" si="3"/>
        <v>7.8037293611894723E-2</v>
      </c>
      <c r="K88" s="426" t="s">
        <v>669</v>
      </c>
    </row>
    <row r="89" spans="1:11" s="127" customFormat="1" ht="112.5" x14ac:dyDescent="0.2">
      <c r="A89" s="146">
        <v>2249</v>
      </c>
      <c r="B89" s="149" t="s">
        <v>53</v>
      </c>
      <c r="C89" s="325">
        <v>106771.14</v>
      </c>
      <c r="D89" s="325">
        <v>101446.08</v>
      </c>
      <c r="E89" s="325">
        <v>3890</v>
      </c>
      <c r="F89" s="325">
        <v>13890</v>
      </c>
      <c r="G89" s="325">
        <v>253890</v>
      </c>
      <c r="H89" s="325">
        <v>253890</v>
      </c>
      <c r="I89" s="130">
        <f t="shared" si="2"/>
        <v>152443.91999999998</v>
      </c>
      <c r="J89" s="131">
        <f t="shared" si="3"/>
        <v>1.5027088281774907</v>
      </c>
      <c r="K89" s="426" t="s">
        <v>654</v>
      </c>
    </row>
    <row r="90" spans="1:11" s="159" customFormat="1" ht="19.5" x14ac:dyDescent="0.2">
      <c r="A90" s="158">
        <v>2250</v>
      </c>
      <c r="B90" s="160" t="s">
        <v>54</v>
      </c>
      <c r="C90" s="327">
        <v>198586</v>
      </c>
      <c r="D90" s="327">
        <v>151801.4</v>
      </c>
      <c r="E90" s="327">
        <v>42636.36</v>
      </c>
      <c r="F90" s="327">
        <v>82600.649999999994</v>
      </c>
      <c r="G90" s="327">
        <v>125356.4</v>
      </c>
      <c r="H90" s="327">
        <v>156320.28</v>
      </c>
      <c r="I90" s="122">
        <f t="shared" si="2"/>
        <v>4518.8800000000047</v>
      </c>
      <c r="J90" s="123">
        <f t="shared" si="3"/>
        <v>2.9768368407669527E-2</v>
      </c>
      <c r="K90" s="422"/>
    </row>
    <row r="91" spans="1:11" s="159" customFormat="1" ht="19.5" x14ac:dyDescent="0.2">
      <c r="A91" s="158">
        <v>2260</v>
      </c>
      <c r="B91" s="160" t="s">
        <v>55</v>
      </c>
      <c r="C91" s="324">
        <v>43835.569999999992</v>
      </c>
      <c r="D91" s="324">
        <v>38038.9</v>
      </c>
      <c r="E91" s="324">
        <v>10867.55</v>
      </c>
      <c r="F91" s="324">
        <v>21358.399999999998</v>
      </c>
      <c r="G91" s="324">
        <v>29171.659999999996</v>
      </c>
      <c r="H91" s="324">
        <v>37393.729999999996</v>
      </c>
      <c r="I91" s="122">
        <f t="shared" si="2"/>
        <v>-645.17000000000553</v>
      </c>
      <c r="J91" s="123">
        <f t="shared" si="3"/>
        <v>-1.6960795396291837E-2</v>
      </c>
      <c r="K91" s="124"/>
    </row>
    <row r="92" spans="1:11" s="127" customFormat="1" x14ac:dyDescent="0.2">
      <c r="A92" s="146">
        <v>2261</v>
      </c>
      <c r="B92" s="157" t="s">
        <v>56</v>
      </c>
      <c r="C92" s="343">
        <v>0</v>
      </c>
      <c r="D92" s="325">
        <v>0</v>
      </c>
      <c r="E92" s="325">
        <v>0</v>
      </c>
      <c r="F92" s="325">
        <v>0</v>
      </c>
      <c r="G92" s="325">
        <v>0</v>
      </c>
      <c r="H92" s="325">
        <v>0</v>
      </c>
      <c r="I92" s="130">
        <f t="shared" si="2"/>
        <v>0</v>
      </c>
      <c r="J92" s="131" t="str">
        <f t="shared" si="3"/>
        <v>-</v>
      </c>
      <c r="K92" s="35"/>
    </row>
    <row r="93" spans="1:11" s="127" customFormat="1" x14ac:dyDescent="0.2">
      <c r="A93" s="146">
        <v>2262</v>
      </c>
      <c r="B93" s="157" t="s">
        <v>57</v>
      </c>
      <c r="C93" s="343">
        <v>0</v>
      </c>
      <c r="D93" s="325">
        <v>0</v>
      </c>
      <c r="E93" s="325">
        <v>0</v>
      </c>
      <c r="F93" s="325">
        <v>0</v>
      </c>
      <c r="G93" s="325">
        <v>0</v>
      </c>
      <c r="H93" s="325">
        <v>0</v>
      </c>
      <c r="I93" s="130">
        <f t="shared" si="2"/>
        <v>0</v>
      </c>
      <c r="J93" s="131" t="str">
        <f t="shared" si="3"/>
        <v>-</v>
      </c>
      <c r="K93" s="35"/>
    </row>
    <row r="94" spans="1:11" s="127" customFormat="1" x14ac:dyDescent="0.2">
      <c r="A94" s="146">
        <v>2263</v>
      </c>
      <c r="B94" s="157" t="s">
        <v>58</v>
      </c>
      <c r="C94" s="343">
        <v>0</v>
      </c>
      <c r="D94" s="325">
        <v>0</v>
      </c>
      <c r="E94" s="325">
        <v>0</v>
      </c>
      <c r="F94" s="325">
        <v>0</v>
      </c>
      <c r="G94" s="325">
        <v>0</v>
      </c>
      <c r="H94" s="325">
        <v>0</v>
      </c>
      <c r="I94" s="130">
        <f t="shared" si="2"/>
        <v>0</v>
      </c>
      <c r="J94" s="131" t="str">
        <f t="shared" si="3"/>
        <v>-</v>
      </c>
      <c r="K94" s="35"/>
    </row>
    <row r="95" spans="1:11" s="127" customFormat="1" x14ac:dyDescent="0.2">
      <c r="A95" s="146">
        <v>2264</v>
      </c>
      <c r="B95" s="157" t="s">
        <v>162</v>
      </c>
      <c r="C95" s="343">
        <v>43523.569999999992</v>
      </c>
      <c r="D95" s="325">
        <v>37835.9</v>
      </c>
      <c r="E95" s="325">
        <v>10810.55</v>
      </c>
      <c r="F95" s="325">
        <v>21197.399999999998</v>
      </c>
      <c r="G95" s="325">
        <v>28994.659999999996</v>
      </c>
      <c r="H95" s="325">
        <v>37216.729999999996</v>
      </c>
      <c r="I95" s="130">
        <f t="shared" si="2"/>
        <v>-619.17000000000553</v>
      </c>
      <c r="J95" s="131">
        <f t="shared" si="3"/>
        <v>-1.6364616673582643E-2</v>
      </c>
      <c r="K95" s="35"/>
    </row>
    <row r="96" spans="1:11" s="127" customFormat="1" x14ac:dyDescent="0.2">
      <c r="A96" s="146">
        <v>2269</v>
      </c>
      <c r="B96" s="157" t="s">
        <v>59</v>
      </c>
      <c r="C96" s="343">
        <v>312</v>
      </c>
      <c r="D96" s="325">
        <v>203</v>
      </c>
      <c r="E96" s="325">
        <v>57</v>
      </c>
      <c r="F96" s="325">
        <v>161</v>
      </c>
      <c r="G96" s="325">
        <v>177</v>
      </c>
      <c r="H96" s="325">
        <v>177</v>
      </c>
      <c r="I96" s="130">
        <f t="shared" si="2"/>
        <v>-26</v>
      </c>
      <c r="J96" s="131">
        <f t="shared" si="3"/>
        <v>-0.12807881773399016</v>
      </c>
      <c r="K96" s="426" t="s">
        <v>670</v>
      </c>
    </row>
    <row r="97" spans="1:11" s="127" customFormat="1" ht="19.5" x14ac:dyDescent="0.2">
      <c r="A97" s="158">
        <v>2270</v>
      </c>
      <c r="B97" s="160" t="s">
        <v>432</v>
      </c>
      <c r="C97" s="324">
        <v>5260.48</v>
      </c>
      <c r="D97" s="324">
        <v>4513.75</v>
      </c>
      <c r="E97" s="324">
        <v>2082.25</v>
      </c>
      <c r="F97" s="324">
        <v>17807.25</v>
      </c>
      <c r="G97" s="324">
        <v>18622.25</v>
      </c>
      <c r="H97" s="324">
        <v>19002.25</v>
      </c>
      <c r="I97" s="122">
        <f t="shared" si="2"/>
        <v>14488.5</v>
      </c>
      <c r="J97" s="123">
        <f t="shared" si="3"/>
        <v>3.2098587648850736</v>
      </c>
      <c r="K97" s="124"/>
    </row>
    <row r="98" spans="1:11" s="127" customFormat="1" x14ac:dyDescent="0.2">
      <c r="A98" s="146">
        <v>2272</v>
      </c>
      <c r="B98" s="149" t="s">
        <v>60</v>
      </c>
      <c r="C98" s="325">
        <v>0</v>
      </c>
      <c r="D98" s="325">
        <v>0</v>
      </c>
      <c r="E98" s="325">
        <v>0</v>
      </c>
      <c r="F98" s="325">
        <v>0</v>
      </c>
      <c r="G98" s="325">
        <v>0</v>
      </c>
      <c r="H98" s="325">
        <v>0</v>
      </c>
      <c r="I98" s="130">
        <f t="shared" si="2"/>
        <v>0</v>
      </c>
      <c r="J98" s="131" t="str">
        <f t="shared" si="3"/>
        <v>-</v>
      </c>
      <c r="K98" s="35"/>
    </row>
    <row r="99" spans="1:11" s="127" customFormat="1" x14ac:dyDescent="0.2">
      <c r="A99" s="146">
        <v>2273</v>
      </c>
      <c r="B99" s="149" t="s">
        <v>61</v>
      </c>
      <c r="C99" s="325">
        <v>0</v>
      </c>
      <c r="D99" s="325">
        <v>0</v>
      </c>
      <c r="E99" s="325">
        <v>0</v>
      </c>
      <c r="F99" s="325">
        <v>0</v>
      </c>
      <c r="G99" s="325">
        <v>0</v>
      </c>
      <c r="H99" s="325">
        <v>0</v>
      </c>
      <c r="I99" s="130">
        <f t="shared" si="2"/>
        <v>0</v>
      </c>
      <c r="J99" s="131" t="str">
        <f t="shared" si="3"/>
        <v>-</v>
      </c>
      <c r="K99" s="35"/>
    </row>
    <row r="100" spans="1:11" s="127" customFormat="1" ht="37.5" x14ac:dyDescent="0.2">
      <c r="A100" s="146">
        <v>2274</v>
      </c>
      <c r="B100" s="149" t="s">
        <v>433</v>
      </c>
      <c r="C100" s="325">
        <v>0</v>
      </c>
      <c r="D100" s="325">
        <v>0</v>
      </c>
      <c r="E100" s="325">
        <v>0</v>
      </c>
      <c r="F100" s="325">
        <v>0</v>
      </c>
      <c r="G100" s="325">
        <v>0</v>
      </c>
      <c r="H100" s="325">
        <v>0</v>
      </c>
      <c r="I100" s="130">
        <f t="shared" si="2"/>
        <v>0</v>
      </c>
      <c r="J100" s="131" t="str">
        <f t="shared" si="3"/>
        <v>-</v>
      </c>
      <c r="K100" s="35"/>
    </row>
    <row r="101" spans="1:11" s="127" customFormat="1" ht="75" x14ac:dyDescent="0.2">
      <c r="A101" s="146">
        <v>2276</v>
      </c>
      <c r="B101" s="149" t="s">
        <v>163</v>
      </c>
      <c r="C101" s="325">
        <v>5260.48</v>
      </c>
      <c r="D101" s="325">
        <v>4513.75</v>
      </c>
      <c r="E101" s="325">
        <v>2082.25</v>
      </c>
      <c r="F101" s="325">
        <v>17807.25</v>
      </c>
      <c r="G101" s="325">
        <v>18622.25</v>
      </c>
      <c r="H101" s="325">
        <v>19002.25</v>
      </c>
      <c r="I101" s="130">
        <f t="shared" si="2"/>
        <v>14488.5</v>
      </c>
      <c r="J101" s="131">
        <f t="shared" si="3"/>
        <v>3.2098587648850736</v>
      </c>
      <c r="K101" s="426" t="s">
        <v>655</v>
      </c>
    </row>
    <row r="102" spans="1:11" s="127" customFormat="1" ht="37.5" x14ac:dyDescent="0.2">
      <c r="A102" s="158">
        <v>2280</v>
      </c>
      <c r="B102" s="148" t="s">
        <v>62</v>
      </c>
      <c r="C102" s="327">
        <v>2930.65</v>
      </c>
      <c r="D102" s="327">
        <v>2404.7800000000002</v>
      </c>
      <c r="E102" s="327">
        <v>538.11</v>
      </c>
      <c r="F102" s="327">
        <v>996.07</v>
      </c>
      <c r="G102" s="327">
        <v>1560.14</v>
      </c>
      <c r="H102" s="327">
        <v>2410.84</v>
      </c>
      <c r="I102" s="122">
        <f t="shared" si="2"/>
        <v>6.0599999999999454</v>
      </c>
      <c r="J102" s="123">
        <f t="shared" si="3"/>
        <v>2.5199810377664255E-3</v>
      </c>
      <c r="K102" s="34"/>
    </row>
    <row r="103" spans="1:11" s="159" customFormat="1" ht="56.25" x14ac:dyDescent="0.2">
      <c r="A103" s="120">
        <v>2300</v>
      </c>
      <c r="B103" s="148" t="s">
        <v>63</v>
      </c>
      <c r="C103" s="324">
        <v>4950087.319600001</v>
      </c>
      <c r="D103" s="324">
        <v>5122142.72</v>
      </c>
      <c r="E103" s="324">
        <v>1194980.2240984961</v>
      </c>
      <c r="F103" s="324">
        <v>2633035.479493985</v>
      </c>
      <c r="G103" s="324">
        <v>3997922.6109060152</v>
      </c>
      <c r="H103" s="324">
        <v>5378026.3247345872</v>
      </c>
      <c r="I103" s="122">
        <f t="shared" si="2"/>
        <v>255883.60473458748</v>
      </c>
      <c r="J103" s="123">
        <f t="shared" si="3"/>
        <v>4.9956359813142323E-2</v>
      </c>
      <c r="K103" s="124"/>
    </row>
    <row r="104" spans="1:11" s="127" customFormat="1" ht="37.5" x14ac:dyDescent="0.2">
      <c r="A104" s="158">
        <v>2310</v>
      </c>
      <c r="B104" s="148" t="s">
        <v>434</v>
      </c>
      <c r="C104" s="324">
        <v>92542.37</v>
      </c>
      <c r="D104" s="324">
        <v>140787.59</v>
      </c>
      <c r="E104" s="324">
        <v>19369.449398496239</v>
      </c>
      <c r="F104" s="324">
        <v>78787.577593984955</v>
      </c>
      <c r="G104" s="324">
        <v>105298.69240601503</v>
      </c>
      <c r="H104" s="324">
        <v>121372.89383458647</v>
      </c>
      <c r="I104" s="122">
        <f t="shared" si="2"/>
        <v>-19414.696165413523</v>
      </c>
      <c r="J104" s="123">
        <f t="shared" si="3"/>
        <v>-0.13790062153499127</v>
      </c>
      <c r="K104" s="124"/>
    </row>
    <row r="105" spans="1:11" s="127" customFormat="1" x14ac:dyDescent="0.2">
      <c r="A105" s="146">
        <v>2311</v>
      </c>
      <c r="B105" s="157" t="s">
        <v>64</v>
      </c>
      <c r="C105" s="343">
        <v>9243.119999999999</v>
      </c>
      <c r="D105" s="325">
        <v>8397.1899999999987</v>
      </c>
      <c r="E105" s="325">
        <v>2127.79</v>
      </c>
      <c r="F105" s="325">
        <v>4091.3399999999997</v>
      </c>
      <c r="G105" s="325">
        <v>5891.59</v>
      </c>
      <c r="H105" s="325">
        <v>8587.73</v>
      </c>
      <c r="I105" s="130">
        <f t="shared" si="2"/>
        <v>190.54000000000087</v>
      </c>
      <c r="J105" s="131">
        <f t="shared" si="3"/>
        <v>2.2690923987667411E-2</v>
      </c>
      <c r="K105" s="430"/>
    </row>
    <row r="106" spans="1:11" s="127" customFormat="1" ht="56.25" x14ac:dyDescent="0.2">
      <c r="A106" s="146">
        <v>2312</v>
      </c>
      <c r="B106" s="157" t="s">
        <v>65</v>
      </c>
      <c r="C106" s="343">
        <v>22919.25</v>
      </c>
      <c r="D106" s="325">
        <v>62471.77</v>
      </c>
      <c r="E106" s="325">
        <v>13719.75939849624</v>
      </c>
      <c r="F106" s="325">
        <v>21310.037593984962</v>
      </c>
      <c r="G106" s="325">
        <v>30706.962406015038</v>
      </c>
      <c r="H106" s="325">
        <v>42866.533834586466</v>
      </c>
      <c r="I106" s="130">
        <f t="shared" si="2"/>
        <v>-19605.236165413531</v>
      </c>
      <c r="J106" s="131">
        <f t="shared" si="3"/>
        <v>-0.31382552736081487</v>
      </c>
      <c r="K106" s="426" t="s">
        <v>656</v>
      </c>
    </row>
    <row r="107" spans="1:11" s="159" customFormat="1" ht="19.5" x14ac:dyDescent="0.2">
      <c r="A107" s="146">
        <v>2313</v>
      </c>
      <c r="B107" s="157" t="s">
        <v>435</v>
      </c>
      <c r="C107" s="343">
        <v>60380</v>
      </c>
      <c r="D107" s="325">
        <v>69918.63</v>
      </c>
      <c r="E107" s="325">
        <v>3521.9</v>
      </c>
      <c r="F107" s="325">
        <v>53386.2</v>
      </c>
      <c r="G107" s="325">
        <v>68700.14</v>
      </c>
      <c r="H107" s="325">
        <v>69918.63</v>
      </c>
      <c r="I107" s="130">
        <f t="shared" si="2"/>
        <v>0</v>
      </c>
      <c r="J107" s="131">
        <f t="shared" si="3"/>
        <v>0</v>
      </c>
      <c r="K107" s="430"/>
    </row>
    <row r="108" spans="1:11" s="127" customFormat="1" ht="37.5" x14ac:dyDescent="0.2">
      <c r="A108" s="146">
        <v>2314</v>
      </c>
      <c r="B108" s="149" t="s">
        <v>436</v>
      </c>
      <c r="C108" s="343">
        <v>0</v>
      </c>
      <c r="D108" s="325">
        <v>0</v>
      </c>
      <c r="E108" s="325">
        <v>0</v>
      </c>
      <c r="F108" s="325">
        <v>0</v>
      </c>
      <c r="G108" s="325">
        <v>0</v>
      </c>
      <c r="H108" s="325">
        <v>0</v>
      </c>
      <c r="I108" s="130">
        <f t="shared" si="2"/>
        <v>0</v>
      </c>
      <c r="J108" s="131" t="str">
        <f t="shared" si="3"/>
        <v>-</v>
      </c>
      <c r="K108" s="35"/>
    </row>
    <row r="109" spans="1:11" s="127" customFormat="1" ht="19.5" x14ac:dyDescent="0.2">
      <c r="A109" s="158">
        <v>2320</v>
      </c>
      <c r="B109" s="148" t="s">
        <v>66</v>
      </c>
      <c r="C109" s="324">
        <v>1415.8899999999999</v>
      </c>
      <c r="D109" s="324">
        <v>1537.2</v>
      </c>
      <c r="E109" s="324">
        <v>474.702</v>
      </c>
      <c r="F109" s="324">
        <v>887.07199999999989</v>
      </c>
      <c r="G109" s="324">
        <v>1495.33</v>
      </c>
      <c r="H109" s="324">
        <v>2154.4499999999998</v>
      </c>
      <c r="I109" s="122">
        <f t="shared" si="2"/>
        <v>617.24999999999977</v>
      </c>
      <c r="J109" s="123">
        <f t="shared" si="3"/>
        <v>0.40154176424668214</v>
      </c>
      <c r="K109" s="124"/>
    </row>
    <row r="110" spans="1:11" s="127" customFormat="1" x14ac:dyDescent="0.2">
      <c r="A110" s="146">
        <v>2321</v>
      </c>
      <c r="B110" s="157" t="s">
        <v>67</v>
      </c>
      <c r="C110" s="343">
        <v>0</v>
      </c>
      <c r="D110" s="325">
        <v>0</v>
      </c>
      <c r="E110" s="325">
        <v>0</v>
      </c>
      <c r="F110" s="325">
        <v>0</v>
      </c>
      <c r="G110" s="325">
        <v>0</v>
      </c>
      <c r="H110" s="325">
        <v>0</v>
      </c>
      <c r="I110" s="130">
        <f t="shared" si="2"/>
        <v>0</v>
      </c>
      <c r="J110" s="131" t="str">
        <f t="shared" si="3"/>
        <v>-</v>
      </c>
      <c r="K110" s="35"/>
    </row>
    <row r="111" spans="1:11" s="159" customFormat="1" ht="56.25" x14ac:dyDescent="0.2">
      <c r="A111" s="146">
        <v>2322</v>
      </c>
      <c r="B111" s="157" t="s">
        <v>68</v>
      </c>
      <c r="C111" s="343">
        <v>1415.8899999999999</v>
      </c>
      <c r="D111" s="325">
        <v>1537.2</v>
      </c>
      <c r="E111" s="325">
        <v>474.702</v>
      </c>
      <c r="F111" s="325">
        <v>887.07199999999989</v>
      </c>
      <c r="G111" s="325">
        <v>1495.33</v>
      </c>
      <c r="H111" s="325">
        <v>2154.4499999999998</v>
      </c>
      <c r="I111" s="130">
        <f t="shared" si="2"/>
        <v>617.24999999999977</v>
      </c>
      <c r="J111" s="131">
        <f t="shared" si="3"/>
        <v>0.40154176424668214</v>
      </c>
      <c r="K111" s="426" t="s">
        <v>657</v>
      </c>
    </row>
    <row r="112" spans="1:11" s="159" customFormat="1" ht="19.5" hidden="1" x14ac:dyDescent="0.2">
      <c r="A112" s="146">
        <v>2329</v>
      </c>
      <c r="B112" s="157" t="s">
        <v>69</v>
      </c>
      <c r="C112" s="343">
        <v>0</v>
      </c>
      <c r="D112" s="325">
        <v>0</v>
      </c>
      <c r="E112" s="325">
        <v>0</v>
      </c>
      <c r="F112" s="325">
        <v>0</v>
      </c>
      <c r="G112" s="325">
        <v>0</v>
      </c>
      <c r="H112" s="325">
        <v>0</v>
      </c>
      <c r="I112" s="130">
        <f t="shared" si="2"/>
        <v>0</v>
      </c>
      <c r="J112" s="131" t="str">
        <f t="shared" si="3"/>
        <v>-</v>
      </c>
      <c r="K112" s="35"/>
    </row>
    <row r="113" spans="1:11" s="127" customFormat="1" ht="19.5" hidden="1" x14ac:dyDescent="0.2">
      <c r="A113" s="158">
        <v>2330</v>
      </c>
      <c r="B113" s="160" t="s">
        <v>70</v>
      </c>
      <c r="C113" s="349">
        <v>0</v>
      </c>
      <c r="D113" s="327">
        <v>0</v>
      </c>
      <c r="E113" s="327">
        <v>0</v>
      </c>
      <c r="F113" s="327">
        <v>0</v>
      </c>
      <c r="G113" s="327">
        <v>0</v>
      </c>
      <c r="H113" s="327">
        <v>0</v>
      </c>
      <c r="I113" s="122">
        <f t="shared" si="2"/>
        <v>0</v>
      </c>
      <c r="J113" s="123" t="str">
        <f t="shared" si="3"/>
        <v>-</v>
      </c>
      <c r="K113" s="34"/>
    </row>
    <row r="114" spans="1:11" s="127" customFormat="1" ht="75" x14ac:dyDescent="0.2">
      <c r="A114" s="158">
        <v>2340</v>
      </c>
      <c r="B114" s="148" t="s">
        <v>71</v>
      </c>
      <c r="C114" s="327">
        <v>4559415.4256000007</v>
      </c>
      <c r="D114" s="327">
        <v>4806584.0600000005</v>
      </c>
      <c r="E114" s="327">
        <v>1130349.9776999999</v>
      </c>
      <c r="F114" s="327">
        <v>2459574.4298999999</v>
      </c>
      <c r="G114" s="327">
        <v>3751406.2685000002</v>
      </c>
      <c r="H114" s="327">
        <v>5063154.943500001</v>
      </c>
      <c r="I114" s="122">
        <f t="shared" si="2"/>
        <v>256570.88350000046</v>
      </c>
      <c r="J114" s="123">
        <f t="shared" si="3"/>
        <v>5.3379048467114595E-2</v>
      </c>
      <c r="K114" s="34"/>
    </row>
    <row r="115" spans="1:11" s="127" customFormat="1" ht="19.5" x14ac:dyDescent="0.2">
      <c r="A115" s="120">
        <v>2341</v>
      </c>
      <c r="B115" s="148" t="s">
        <v>72</v>
      </c>
      <c r="C115" s="324">
        <v>555394.86960000009</v>
      </c>
      <c r="D115" s="324">
        <v>593309.44999999995</v>
      </c>
      <c r="E115" s="324">
        <v>146970.1165</v>
      </c>
      <c r="F115" s="324">
        <v>301792.39319999999</v>
      </c>
      <c r="G115" s="324">
        <v>468860.52720000001</v>
      </c>
      <c r="H115" s="324">
        <v>622687.70669999998</v>
      </c>
      <c r="I115" s="122">
        <f t="shared" si="2"/>
        <v>29378.256700000027</v>
      </c>
      <c r="J115" s="123">
        <f t="shared" si="3"/>
        <v>4.9515908940941405E-2</v>
      </c>
      <c r="K115" s="124"/>
    </row>
    <row r="116" spans="1:11" s="127" customFormat="1" ht="37.5" x14ac:dyDescent="0.2">
      <c r="A116" s="146">
        <v>23411</v>
      </c>
      <c r="B116" s="162" t="s">
        <v>330</v>
      </c>
      <c r="C116" s="325">
        <v>450436.06710000004</v>
      </c>
      <c r="D116" s="326">
        <v>459892.18</v>
      </c>
      <c r="E116" s="325">
        <v>115718.15250000001</v>
      </c>
      <c r="F116" s="325">
        <v>232234.07</v>
      </c>
      <c r="G116" s="325">
        <v>360809.93600000005</v>
      </c>
      <c r="H116" s="326">
        <v>482850.26490000007</v>
      </c>
      <c r="I116" s="130">
        <f t="shared" si="2"/>
        <v>22958.084900000074</v>
      </c>
      <c r="J116" s="131">
        <f t="shared" si="3"/>
        <v>4.9920581167525124E-2</v>
      </c>
      <c r="K116" s="426" t="s">
        <v>678</v>
      </c>
    </row>
    <row r="117" spans="1:11" s="127" customFormat="1" x14ac:dyDescent="0.2">
      <c r="A117" s="146">
        <v>23412</v>
      </c>
      <c r="B117" s="162" t="s">
        <v>346</v>
      </c>
      <c r="C117" s="325">
        <v>33543.227200000008</v>
      </c>
      <c r="D117" s="326">
        <v>40890.310000000005</v>
      </c>
      <c r="E117" s="325">
        <v>9921.1643000000004</v>
      </c>
      <c r="F117" s="325">
        <v>19725.219300000001</v>
      </c>
      <c r="G117" s="325">
        <v>29781.947699999997</v>
      </c>
      <c r="H117" s="326">
        <v>42116.7333</v>
      </c>
      <c r="I117" s="130">
        <f t="shared" si="2"/>
        <v>1226.4232999999949</v>
      </c>
      <c r="J117" s="131">
        <f t="shared" si="3"/>
        <v>2.9993005677873188E-2</v>
      </c>
      <c r="K117" s="35"/>
    </row>
    <row r="118" spans="1:11" s="127" customFormat="1" ht="37.5" x14ac:dyDescent="0.2">
      <c r="A118" s="146">
        <v>23413</v>
      </c>
      <c r="B118" s="162" t="s">
        <v>345</v>
      </c>
      <c r="C118" s="325">
        <v>71415.575299999997</v>
      </c>
      <c r="D118" s="326">
        <v>92526.959999999992</v>
      </c>
      <c r="E118" s="325">
        <v>21330.799700000003</v>
      </c>
      <c r="F118" s="325">
        <v>49833.103900000009</v>
      </c>
      <c r="G118" s="325">
        <v>78268.64350000002</v>
      </c>
      <c r="H118" s="326">
        <v>97720.708500000022</v>
      </c>
      <c r="I118" s="130">
        <f t="shared" si="2"/>
        <v>5193.7485000000306</v>
      </c>
      <c r="J118" s="131">
        <f t="shared" si="3"/>
        <v>5.6132272150733485E-2</v>
      </c>
      <c r="K118" s="426" t="s">
        <v>679</v>
      </c>
    </row>
    <row r="119" spans="1:11" s="127" customFormat="1" hidden="1" x14ac:dyDescent="0.2">
      <c r="A119" s="146">
        <v>23415</v>
      </c>
      <c r="B119" s="162" t="s">
        <v>331</v>
      </c>
      <c r="C119" s="325">
        <v>0</v>
      </c>
      <c r="D119" s="326">
        <v>0</v>
      </c>
      <c r="E119" s="325">
        <v>0</v>
      </c>
      <c r="F119" s="325">
        <v>0</v>
      </c>
      <c r="G119" s="325">
        <v>0</v>
      </c>
      <c r="H119" s="325">
        <v>0</v>
      </c>
      <c r="I119" s="130">
        <f t="shared" si="2"/>
        <v>0</v>
      </c>
      <c r="J119" s="131" t="str">
        <f t="shared" si="3"/>
        <v>-</v>
      </c>
      <c r="K119" s="35"/>
    </row>
    <row r="120" spans="1:11" s="127" customFormat="1" ht="56.25" hidden="1" x14ac:dyDescent="0.2">
      <c r="A120" s="146">
        <v>23416</v>
      </c>
      <c r="B120" s="162" t="s">
        <v>332</v>
      </c>
      <c r="C120" s="325">
        <v>0</v>
      </c>
      <c r="D120" s="326">
        <v>0</v>
      </c>
      <c r="E120" s="325">
        <v>0</v>
      </c>
      <c r="F120" s="325">
        <v>0</v>
      </c>
      <c r="G120" s="325">
        <v>0</v>
      </c>
      <c r="H120" s="325">
        <v>0</v>
      </c>
      <c r="I120" s="130">
        <f t="shared" si="2"/>
        <v>0</v>
      </c>
      <c r="J120" s="131" t="str">
        <f t="shared" si="3"/>
        <v>-</v>
      </c>
      <c r="K120" s="35"/>
    </row>
    <row r="121" spans="1:11" s="159" customFormat="1" ht="19.5" x14ac:dyDescent="0.2">
      <c r="A121" s="120">
        <v>2343</v>
      </c>
      <c r="B121" s="148" t="s">
        <v>357</v>
      </c>
      <c r="C121" s="324">
        <v>137040.36500000002</v>
      </c>
      <c r="D121" s="324">
        <v>162426.65</v>
      </c>
      <c r="E121" s="324">
        <v>40881.0075</v>
      </c>
      <c r="F121" s="324">
        <v>83277.044199999989</v>
      </c>
      <c r="G121" s="324">
        <v>121364.48719999999</v>
      </c>
      <c r="H121" s="324">
        <v>168500.96429999999</v>
      </c>
      <c r="I121" s="163">
        <f t="shared" si="2"/>
        <v>6074.3142999999982</v>
      </c>
      <c r="J121" s="123">
        <f t="shared" si="3"/>
        <v>3.7397276247463078E-2</v>
      </c>
      <c r="K121" s="164"/>
    </row>
    <row r="122" spans="1:11" s="159" customFormat="1" ht="19.5" x14ac:dyDescent="0.2">
      <c r="A122" s="146">
        <v>23431</v>
      </c>
      <c r="B122" s="162" t="s">
        <v>286</v>
      </c>
      <c r="C122" s="325">
        <v>137040.36500000002</v>
      </c>
      <c r="D122" s="326">
        <v>162426.65</v>
      </c>
      <c r="E122" s="325">
        <v>40881.0075</v>
      </c>
      <c r="F122" s="325">
        <v>83277.044199999989</v>
      </c>
      <c r="G122" s="325">
        <v>121364.48719999999</v>
      </c>
      <c r="H122" s="326">
        <v>168500.96429999999</v>
      </c>
      <c r="I122" s="130">
        <f t="shared" si="2"/>
        <v>6074.3142999999982</v>
      </c>
      <c r="J122" s="131">
        <f t="shared" si="3"/>
        <v>3.7397276247463078E-2</v>
      </c>
      <c r="K122" s="430"/>
    </row>
    <row r="123" spans="1:11" s="159" customFormat="1" ht="19.5" x14ac:dyDescent="0.2">
      <c r="A123" s="146">
        <v>23432</v>
      </c>
      <c r="B123" s="162" t="s">
        <v>290</v>
      </c>
      <c r="C123" s="325">
        <v>0</v>
      </c>
      <c r="D123" s="326">
        <v>0</v>
      </c>
      <c r="E123" s="325">
        <v>0</v>
      </c>
      <c r="F123" s="325">
        <v>0</v>
      </c>
      <c r="G123" s="325">
        <v>0</v>
      </c>
      <c r="H123" s="325">
        <v>0</v>
      </c>
      <c r="I123" s="130">
        <f t="shared" si="2"/>
        <v>0</v>
      </c>
      <c r="J123" s="131" t="str">
        <f t="shared" si="3"/>
        <v>-</v>
      </c>
      <c r="K123" s="35"/>
    </row>
    <row r="124" spans="1:11" s="159" customFormat="1" ht="37.5" x14ac:dyDescent="0.2">
      <c r="A124" s="120">
        <v>2344</v>
      </c>
      <c r="B124" s="148" t="s">
        <v>359</v>
      </c>
      <c r="C124" s="324">
        <v>3866980.1910000006</v>
      </c>
      <c r="D124" s="324">
        <v>4050847.96</v>
      </c>
      <c r="E124" s="324">
        <v>942498.85369999998</v>
      </c>
      <c r="F124" s="324">
        <v>2074504.9925000002</v>
      </c>
      <c r="G124" s="324">
        <v>3161181.2541</v>
      </c>
      <c r="H124" s="324">
        <v>4271966.2725</v>
      </c>
      <c r="I124" s="122">
        <f t="shared" si="2"/>
        <v>221118.3125</v>
      </c>
      <c r="J124" s="123">
        <f t="shared" si="3"/>
        <v>5.4585685437574409E-2</v>
      </c>
      <c r="K124" s="124"/>
    </row>
    <row r="125" spans="1:11" s="159" customFormat="1" ht="37.5" x14ac:dyDescent="0.2">
      <c r="A125" s="146">
        <v>23441</v>
      </c>
      <c r="B125" s="149" t="s">
        <v>287</v>
      </c>
      <c r="C125" s="325">
        <v>756187.50890000013</v>
      </c>
      <c r="D125" s="325">
        <v>999251.02000000014</v>
      </c>
      <c r="E125" s="325">
        <v>253198</v>
      </c>
      <c r="F125" s="325">
        <v>513361.48869999999</v>
      </c>
      <c r="G125" s="325">
        <v>780760.44790000003</v>
      </c>
      <c r="H125" s="325">
        <v>1060392.1094</v>
      </c>
      <c r="I125" s="130">
        <f t="shared" si="2"/>
        <v>61141.089399999822</v>
      </c>
      <c r="J125" s="131">
        <f t="shared" si="3"/>
        <v>6.1186917177227212E-2</v>
      </c>
      <c r="K125" s="426" t="s">
        <v>676</v>
      </c>
    </row>
    <row r="126" spans="1:11" s="159" customFormat="1" ht="19.5" x14ac:dyDescent="0.2">
      <c r="A126" s="146">
        <v>23442</v>
      </c>
      <c r="B126" s="149" t="s">
        <v>288</v>
      </c>
      <c r="C126" s="325">
        <v>3092274.9610000001</v>
      </c>
      <c r="D126" s="325">
        <v>3024273.1700000004</v>
      </c>
      <c r="E126" s="325">
        <v>677331.19</v>
      </c>
      <c r="F126" s="325">
        <v>1542257.73</v>
      </c>
      <c r="G126" s="325">
        <v>2351453.31</v>
      </c>
      <c r="H126" s="325">
        <v>3179387.68</v>
      </c>
      <c r="I126" s="130">
        <f t="shared" si="2"/>
        <v>155114.50999999978</v>
      </c>
      <c r="J126" s="131">
        <f t="shared" si="3"/>
        <v>5.1289847603283721E-2</v>
      </c>
      <c r="K126" s="426" t="s">
        <v>658</v>
      </c>
    </row>
    <row r="127" spans="1:11" s="159" customFormat="1" ht="56.25" x14ac:dyDescent="0.2">
      <c r="A127" s="146">
        <v>23443</v>
      </c>
      <c r="B127" s="149" t="s">
        <v>289</v>
      </c>
      <c r="C127" s="325">
        <v>18517.721099999999</v>
      </c>
      <c r="D127" s="325">
        <v>27323.77</v>
      </c>
      <c r="E127" s="325">
        <v>11969.663699999999</v>
      </c>
      <c r="F127" s="325">
        <v>18885.773799999999</v>
      </c>
      <c r="G127" s="325">
        <v>28967.496199999998</v>
      </c>
      <c r="H127" s="325">
        <v>32186.483099999998</v>
      </c>
      <c r="I127" s="130">
        <f t="shared" si="2"/>
        <v>4862.7130999999972</v>
      </c>
      <c r="J127" s="131">
        <f t="shared" si="3"/>
        <v>0.17796640434317801</v>
      </c>
      <c r="K127" s="426" t="s">
        <v>677</v>
      </c>
    </row>
    <row r="128" spans="1:11" s="127" customFormat="1" ht="19.5" x14ac:dyDescent="0.2">
      <c r="A128" s="158">
        <v>2350</v>
      </c>
      <c r="B128" s="160" t="s">
        <v>437</v>
      </c>
      <c r="C128" s="327">
        <v>7152.33</v>
      </c>
      <c r="D128" s="327">
        <v>14472.240000000002</v>
      </c>
      <c r="E128" s="327">
        <v>3016</v>
      </c>
      <c r="F128" s="327">
        <v>5687.73</v>
      </c>
      <c r="G128" s="327">
        <v>9547.0399999999991</v>
      </c>
      <c r="H128" s="327">
        <v>14471.869999999999</v>
      </c>
      <c r="I128" s="122">
        <f t="shared" si="2"/>
        <v>-0.37000000000261934</v>
      </c>
      <c r="J128" s="123">
        <f t="shared" si="3"/>
        <v>-2.556618740448053E-5</v>
      </c>
      <c r="K128" s="34"/>
    </row>
    <row r="129" spans="1:11" s="127" customFormat="1" ht="37.5" x14ac:dyDescent="0.2">
      <c r="A129" s="158">
        <v>2360</v>
      </c>
      <c r="B129" s="148" t="s">
        <v>438</v>
      </c>
      <c r="C129" s="324">
        <v>289561.304</v>
      </c>
      <c r="D129" s="324">
        <v>158761.63</v>
      </c>
      <c r="E129" s="324">
        <v>41770.095000000001</v>
      </c>
      <c r="F129" s="324">
        <v>88098.67</v>
      </c>
      <c r="G129" s="324">
        <v>130175.27999999998</v>
      </c>
      <c r="H129" s="324">
        <v>176872.16739999998</v>
      </c>
      <c r="I129" s="122">
        <f t="shared" si="2"/>
        <v>18110.537399999972</v>
      </c>
      <c r="J129" s="123">
        <f t="shared" si="3"/>
        <v>0.11407376832802719</v>
      </c>
      <c r="K129" s="124"/>
    </row>
    <row r="130" spans="1:11" s="127" customFormat="1" ht="37.5" x14ac:dyDescent="0.2">
      <c r="A130" s="146">
        <v>2361</v>
      </c>
      <c r="B130" s="149" t="s">
        <v>73</v>
      </c>
      <c r="C130" s="325">
        <v>131920</v>
      </c>
      <c r="D130" s="325">
        <v>15905.260000000002</v>
      </c>
      <c r="E130" s="325">
        <v>4917.25</v>
      </c>
      <c r="F130" s="325">
        <v>12284.88</v>
      </c>
      <c r="G130" s="325">
        <v>14404.869999999999</v>
      </c>
      <c r="H130" s="325">
        <v>18565.419999999995</v>
      </c>
      <c r="I130" s="130">
        <f t="shared" si="2"/>
        <v>2660.1599999999926</v>
      </c>
      <c r="J130" s="131">
        <f t="shared" si="3"/>
        <v>0.16725033102256689</v>
      </c>
      <c r="K130" s="426" t="s">
        <v>673</v>
      </c>
    </row>
    <row r="131" spans="1:11" s="127" customFormat="1" x14ac:dyDescent="0.2">
      <c r="A131" s="146">
        <v>2362</v>
      </c>
      <c r="B131" s="149" t="s">
        <v>74</v>
      </c>
      <c r="C131" s="325">
        <v>97.859999999999985</v>
      </c>
      <c r="D131" s="325">
        <v>796.11</v>
      </c>
      <c r="E131" s="325">
        <v>447.64</v>
      </c>
      <c r="F131" s="325">
        <v>589.64</v>
      </c>
      <c r="G131" s="325">
        <v>589.64</v>
      </c>
      <c r="H131" s="325">
        <v>796.56</v>
      </c>
      <c r="I131" s="130">
        <f t="shared" ref="I131:I192" si="4">H131-D131</f>
        <v>0.44999999999993179</v>
      </c>
      <c r="J131" s="131">
        <f t="shared" ref="J131:J186" si="5">IFERROR(I131/ABS(D131), "-")</f>
        <v>5.6524852093295115E-4</v>
      </c>
      <c r="K131" s="35"/>
    </row>
    <row r="132" spans="1:11" s="127" customFormat="1" ht="56.25" x14ac:dyDescent="0.2">
      <c r="A132" s="146">
        <v>2363</v>
      </c>
      <c r="B132" s="149" t="s">
        <v>75</v>
      </c>
      <c r="C132" s="325">
        <v>157543.44399999999</v>
      </c>
      <c r="D132" s="325">
        <v>142060.26</v>
      </c>
      <c r="E132" s="325">
        <v>36405.205000000002</v>
      </c>
      <c r="F132" s="325">
        <v>75224.149999999994</v>
      </c>
      <c r="G132" s="325">
        <v>115180.77</v>
      </c>
      <c r="H132" s="325">
        <v>157510.1874</v>
      </c>
      <c r="I132" s="130">
        <f t="shared" si="4"/>
        <v>15449.927399999986</v>
      </c>
      <c r="J132" s="131">
        <f t="shared" si="5"/>
        <v>0.10875615319864954</v>
      </c>
      <c r="K132" s="426" t="s">
        <v>659</v>
      </c>
    </row>
    <row r="133" spans="1:11" s="127" customFormat="1" hidden="1" x14ac:dyDescent="0.2">
      <c r="A133" s="146">
        <v>2364</v>
      </c>
      <c r="B133" s="149" t="s">
        <v>439</v>
      </c>
      <c r="C133" s="325">
        <v>0</v>
      </c>
      <c r="D133" s="325">
        <v>0</v>
      </c>
      <c r="E133" s="325">
        <v>0</v>
      </c>
      <c r="F133" s="325">
        <v>0</v>
      </c>
      <c r="G133" s="325">
        <v>0</v>
      </c>
      <c r="H133" s="325">
        <v>0</v>
      </c>
      <c r="I133" s="130">
        <f t="shared" si="4"/>
        <v>0</v>
      </c>
      <c r="J133" s="131" t="str">
        <f t="shared" si="5"/>
        <v>-</v>
      </c>
      <c r="K133" s="35"/>
    </row>
    <row r="134" spans="1:11" s="159" customFormat="1" ht="37.5" hidden="1" x14ac:dyDescent="0.2">
      <c r="A134" s="146">
        <v>2366</v>
      </c>
      <c r="B134" s="149" t="s">
        <v>76</v>
      </c>
      <c r="C134" s="325">
        <v>0</v>
      </c>
      <c r="D134" s="325">
        <v>0</v>
      </c>
      <c r="E134" s="325">
        <v>0</v>
      </c>
      <c r="F134" s="325">
        <v>0</v>
      </c>
      <c r="G134" s="325">
        <v>0</v>
      </c>
      <c r="H134" s="325">
        <v>0</v>
      </c>
      <c r="I134" s="130">
        <f t="shared" si="4"/>
        <v>0</v>
      </c>
      <c r="J134" s="131" t="str">
        <f t="shared" si="5"/>
        <v>-</v>
      </c>
      <c r="K134" s="35"/>
    </row>
    <row r="135" spans="1:11" s="159" customFormat="1" ht="56.25" hidden="1" x14ac:dyDescent="0.2">
      <c r="A135" s="146">
        <v>2369</v>
      </c>
      <c r="B135" s="149" t="s">
        <v>164</v>
      </c>
      <c r="C135" s="325">
        <v>0</v>
      </c>
      <c r="D135" s="325">
        <v>0</v>
      </c>
      <c r="E135" s="325">
        <v>0</v>
      </c>
      <c r="F135" s="325">
        <v>0</v>
      </c>
      <c r="G135" s="325">
        <v>0</v>
      </c>
      <c r="H135" s="325">
        <v>0</v>
      </c>
      <c r="I135" s="130">
        <f t="shared" si="4"/>
        <v>0</v>
      </c>
      <c r="J135" s="131" t="str">
        <f t="shared" si="5"/>
        <v>-</v>
      </c>
      <c r="K135" s="35"/>
    </row>
    <row r="136" spans="1:11" s="127" customFormat="1" ht="19.5" hidden="1" x14ac:dyDescent="0.2">
      <c r="A136" s="158">
        <v>2370</v>
      </c>
      <c r="B136" s="160" t="s">
        <v>77</v>
      </c>
      <c r="C136" s="327">
        <v>0</v>
      </c>
      <c r="D136" s="327">
        <v>0</v>
      </c>
      <c r="E136" s="327">
        <v>0</v>
      </c>
      <c r="F136" s="327">
        <v>0</v>
      </c>
      <c r="G136" s="327">
        <v>0</v>
      </c>
      <c r="H136" s="327">
        <v>0</v>
      </c>
      <c r="I136" s="122">
        <f t="shared" si="4"/>
        <v>0</v>
      </c>
      <c r="J136" s="123" t="str">
        <f t="shared" si="5"/>
        <v>-</v>
      </c>
      <c r="K136" s="34"/>
    </row>
    <row r="137" spans="1:11" s="127" customFormat="1" ht="19.5" hidden="1" x14ac:dyDescent="0.2">
      <c r="A137" s="158">
        <v>2380</v>
      </c>
      <c r="B137" s="160" t="s">
        <v>78</v>
      </c>
      <c r="C137" s="327">
        <v>0</v>
      </c>
      <c r="D137" s="327">
        <v>0</v>
      </c>
      <c r="E137" s="327">
        <v>0</v>
      </c>
      <c r="F137" s="327">
        <v>0</v>
      </c>
      <c r="G137" s="327">
        <v>0</v>
      </c>
      <c r="H137" s="327">
        <v>0</v>
      </c>
      <c r="I137" s="122">
        <f t="shared" si="4"/>
        <v>0</v>
      </c>
      <c r="J137" s="123" t="str">
        <f t="shared" si="5"/>
        <v>-</v>
      </c>
      <c r="K137" s="34"/>
    </row>
    <row r="138" spans="1:11" ht="19.5" x14ac:dyDescent="0.2">
      <c r="A138" s="120">
        <v>2390</v>
      </c>
      <c r="B138" s="160" t="s">
        <v>79</v>
      </c>
      <c r="C138" s="327">
        <v>0</v>
      </c>
      <c r="D138" s="327">
        <v>0</v>
      </c>
      <c r="E138" s="327">
        <v>0</v>
      </c>
      <c r="F138" s="327">
        <v>0</v>
      </c>
      <c r="G138" s="327">
        <v>0</v>
      </c>
      <c r="H138" s="327">
        <v>0</v>
      </c>
      <c r="I138" s="122">
        <f t="shared" si="4"/>
        <v>0</v>
      </c>
      <c r="J138" s="123" t="str">
        <f t="shared" si="5"/>
        <v>-</v>
      </c>
      <c r="K138" s="34"/>
    </row>
    <row r="139" spans="1:11" ht="19.5" x14ac:dyDescent="0.2">
      <c r="A139" s="120">
        <v>2500</v>
      </c>
      <c r="B139" s="148" t="s">
        <v>440</v>
      </c>
      <c r="C139" s="324">
        <v>874097.09669999999</v>
      </c>
      <c r="D139" s="324">
        <v>1037041.3400000001</v>
      </c>
      <c r="E139" s="324">
        <v>264406.26352880441</v>
      </c>
      <c r="F139" s="324">
        <v>539653.2375081582</v>
      </c>
      <c r="G139" s="324">
        <v>813764.59100781207</v>
      </c>
      <c r="H139" s="324">
        <v>1143102.4725776564</v>
      </c>
      <c r="I139" s="122">
        <f t="shared" si="4"/>
        <v>106061.1325776563</v>
      </c>
      <c r="J139" s="123">
        <f t="shared" si="5"/>
        <v>0.10227281062648505</v>
      </c>
      <c r="K139" s="124"/>
    </row>
    <row r="140" spans="1:11" ht="19.5" x14ac:dyDescent="0.2">
      <c r="A140" s="120">
        <v>2510</v>
      </c>
      <c r="B140" s="160" t="s">
        <v>441</v>
      </c>
      <c r="C140" s="324">
        <v>874097.09669999999</v>
      </c>
      <c r="D140" s="324">
        <v>1037041.3400000001</v>
      </c>
      <c r="E140" s="324">
        <v>264406.26352880441</v>
      </c>
      <c r="F140" s="324">
        <v>539653.2375081582</v>
      </c>
      <c r="G140" s="324">
        <v>813764.59100781207</v>
      </c>
      <c r="H140" s="324">
        <v>1143102.4725776564</v>
      </c>
      <c r="I140" s="122">
        <f t="shared" si="4"/>
        <v>106061.1325776563</v>
      </c>
      <c r="J140" s="123">
        <f t="shared" si="5"/>
        <v>0.10227281062648505</v>
      </c>
      <c r="K140" s="124"/>
    </row>
    <row r="141" spans="1:11" ht="56.25" x14ac:dyDescent="0.2">
      <c r="A141" s="146">
        <v>2512</v>
      </c>
      <c r="B141" s="149" t="s">
        <v>80</v>
      </c>
      <c r="C141" s="325">
        <v>851776.92670000007</v>
      </c>
      <c r="D141" s="325">
        <v>1012132.68</v>
      </c>
      <c r="E141" s="325">
        <v>255825.0635288044</v>
      </c>
      <c r="F141" s="325">
        <v>525095.83750815818</v>
      </c>
      <c r="G141" s="325">
        <v>794240.55100781203</v>
      </c>
      <c r="H141" s="325">
        <v>1115775.1225776563</v>
      </c>
      <c r="I141" s="130">
        <f t="shared" si="4"/>
        <v>103642.44257765624</v>
      </c>
      <c r="J141" s="131">
        <f t="shared" si="5"/>
        <v>0.10240005547262464</v>
      </c>
      <c r="K141" s="426" t="s">
        <v>660</v>
      </c>
    </row>
    <row r="142" spans="1:11" x14ac:dyDescent="0.2">
      <c r="A142" s="146">
        <v>2513</v>
      </c>
      <c r="B142" s="149" t="s">
        <v>442</v>
      </c>
      <c r="C142" s="325">
        <v>11605.99</v>
      </c>
      <c r="D142" s="325">
        <v>11605.99</v>
      </c>
      <c r="E142" s="325">
        <v>2901.4800000000005</v>
      </c>
      <c r="F142" s="325">
        <v>5802.96</v>
      </c>
      <c r="G142" s="325">
        <v>8704.44</v>
      </c>
      <c r="H142" s="325">
        <v>11605.99</v>
      </c>
      <c r="I142" s="130">
        <f t="shared" si="4"/>
        <v>0</v>
      </c>
      <c r="J142" s="131">
        <f t="shared" si="5"/>
        <v>0</v>
      </c>
      <c r="K142" s="35"/>
    </row>
    <row r="143" spans="1:11" ht="36" hidden="1" customHeight="1" x14ac:dyDescent="0.2">
      <c r="A143" s="146">
        <v>2514</v>
      </c>
      <c r="B143" s="149" t="s">
        <v>81</v>
      </c>
      <c r="C143" s="325">
        <v>0</v>
      </c>
      <c r="D143" s="325">
        <v>0</v>
      </c>
      <c r="E143" s="325">
        <v>0</v>
      </c>
      <c r="F143" s="325">
        <v>0</v>
      </c>
      <c r="G143" s="325">
        <v>0</v>
      </c>
      <c r="H143" s="325">
        <v>0</v>
      </c>
      <c r="I143" s="130">
        <f t="shared" si="4"/>
        <v>0</v>
      </c>
      <c r="J143" s="131" t="str">
        <f t="shared" si="5"/>
        <v>-</v>
      </c>
      <c r="K143" s="35"/>
    </row>
    <row r="144" spans="1:11" ht="56.25" x14ac:dyDescent="0.3">
      <c r="A144" s="146">
        <v>2515</v>
      </c>
      <c r="B144" s="149" t="s">
        <v>82</v>
      </c>
      <c r="C144" s="325">
        <v>7782.34</v>
      </c>
      <c r="D144" s="325">
        <v>10564.869999999999</v>
      </c>
      <c r="E144" s="325">
        <v>5027</v>
      </c>
      <c r="F144" s="325">
        <v>7451</v>
      </c>
      <c r="G144" s="325">
        <v>8846</v>
      </c>
      <c r="H144" s="325">
        <v>13065</v>
      </c>
      <c r="I144" s="130">
        <f t="shared" si="4"/>
        <v>2500.130000000001</v>
      </c>
      <c r="J144" s="131">
        <f t="shared" si="5"/>
        <v>0.23664559999318507</v>
      </c>
      <c r="K144" s="431" t="s">
        <v>661</v>
      </c>
    </row>
    <row r="145" spans="1:11" ht="56.25" hidden="1" x14ac:dyDescent="0.2">
      <c r="A145" s="146">
        <v>2516</v>
      </c>
      <c r="B145" s="149" t="s">
        <v>165</v>
      </c>
      <c r="C145" s="325">
        <v>0</v>
      </c>
      <c r="D145" s="325">
        <v>0</v>
      </c>
      <c r="E145" s="325">
        <v>0</v>
      </c>
      <c r="F145" s="325">
        <v>0</v>
      </c>
      <c r="G145" s="325">
        <v>0</v>
      </c>
      <c r="H145" s="325">
        <v>0</v>
      </c>
      <c r="I145" s="130">
        <f t="shared" si="4"/>
        <v>0</v>
      </c>
      <c r="J145" s="131" t="str">
        <f t="shared" si="5"/>
        <v>-</v>
      </c>
      <c r="K145" s="35"/>
    </row>
    <row r="146" spans="1:11" x14ac:dyDescent="0.2">
      <c r="A146" s="114">
        <v>2518</v>
      </c>
      <c r="B146" s="162" t="s">
        <v>83</v>
      </c>
      <c r="C146" s="325">
        <v>2931.84</v>
      </c>
      <c r="D146" s="326">
        <v>2737.7999999999997</v>
      </c>
      <c r="E146" s="325">
        <v>652.72</v>
      </c>
      <c r="F146" s="325">
        <v>1303.44</v>
      </c>
      <c r="G146" s="325">
        <v>1973.6</v>
      </c>
      <c r="H146" s="326">
        <v>2656.3599999999997</v>
      </c>
      <c r="I146" s="130">
        <f t="shared" si="4"/>
        <v>-81.440000000000055</v>
      </c>
      <c r="J146" s="131">
        <f t="shared" si="5"/>
        <v>-2.9746511797793872E-2</v>
      </c>
      <c r="K146" s="35"/>
    </row>
    <row r="147" spans="1:11" s="127" customFormat="1" hidden="1" x14ac:dyDescent="0.2">
      <c r="A147" s="146">
        <v>2519</v>
      </c>
      <c r="B147" s="149" t="s">
        <v>84</v>
      </c>
      <c r="C147" s="325">
        <v>0</v>
      </c>
      <c r="D147" s="325">
        <v>0</v>
      </c>
      <c r="E147" s="325">
        <v>0</v>
      </c>
      <c r="F147" s="325">
        <v>0</v>
      </c>
      <c r="G147" s="325">
        <v>0</v>
      </c>
      <c r="H147" s="325">
        <v>0</v>
      </c>
      <c r="I147" s="130">
        <f t="shared" si="4"/>
        <v>0</v>
      </c>
      <c r="J147" s="131" t="str">
        <f t="shared" si="5"/>
        <v>-</v>
      </c>
      <c r="K147" s="35"/>
    </row>
    <row r="148" spans="1:11" ht="37.5" hidden="1" x14ac:dyDescent="0.2">
      <c r="A148" s="144">
        <v>2520</v>
      </c>
      <c r="B148" s="151" t="s">
        <v>443</v>
      </c>
      <c r="C148" s="328">
        <v>0</v>
      </c>
      <c r="D148" s="328">
        <v>0</v>
      </c>
      <c r="E148" s="328">
        <v>0</v>
      </c>
      <c r="F148" s="328">
        <v>0</v>
      </c>
      <c r="G148" s="328">
        <v>0</v>
      </c>
      <c r="H148" s="328">
        <v>0</v>
      </c>
      <c r="I148" s="135">
        <f t="shared" si="4"/>
        <v>0</v>
      </c>
      <c r="J148" s="136" t="str">
        <f t="shared" si="5"/>
        <v>-</v>
      </c>
      <c r="K148" s="36"/>
    </row>
    <row r="149" spans="1:11" ht="56.25" hidden="1" x14ac:dyDescent="0.2">
      <c r="A149" s="144">
        <v>2800</v>
      </c>
      <c r="B149" s="165" t="s">
        <v>85</v>
      </c>
      <c r="C149" s="328">
        <v>0</v>
      </c>
      <c r="D149" s="330">
        <v>0</v>
      </c>
      <c r="E149" s="328">
        <v>0</v>
      </c>
      <c r="F149" s="328">
        <v>0</v>
      </c>
      <c r="G149" s="328">
        <v>0</v>
      </c>
      <c r="H149" s="330">
        <v>0</v>
      </c>
      <c r="I149" s="135">
        <f t="shared" si="4"/>
        <v>0</v>
      </c>
      <c r="J149" s="136" t="str">
        <f t="shared" si="5"/>
        <v>-</v>
      </c>
      <c r="K149" s="36"/>
    </row>
    <row r="150" spans="1:11" ht="19.5" hidden="1" x14ac:dyDescent="0.2">
      <c r="A150" s="120">
        <v>4000</v>
      </c>
      <c r="B150" s="126" t="s">
        <v>86</v>
      </c>
      <c r="C150" s="324">
        <v>0</v>
      </c>
      <c r="D150" s="324">
        <v>0</v>
      </c>
      <c r="E150" s="324">
        <v>0</v>
      </c>
      <c r="F150" s="324">
        <v>0</v>
      </c>
      <c r="G150" s="324">
        <v>0</v>
      </c>
      <c r="H150" s="324">
        <v>0</v>
      </c>
      <c r="I150" s="122">
        <f t="shared" si="4"/>
        <v>0</v>
      </c>
      <c r="J150" s="123" t="str">
        <f t="shared" si="5"/>
        <v>-</v>
      </c>
      <c r="K150" s="124"/>
    </row>
    <row r="151" spans="1:11" ht="37.5" hidden="1" x14ac:dyDescent="0.2">
      <c r="A151" s="166">
        <v>4100</v>
      </c>
      <c r="B151" s="148" t="s">
        <v>87</v>
      </c>
      <c r="C151" s="324">
        <v>0</v>
      </c>
      <c r="D151" s="324">
        <v>0</v>
      </c>
      <c r="E151" s="324">
        <v>0</v>
      </c>
      <c r="F151" s="324">
        <v>0</v>
      </c>
      <c r="G151" s="324">
        <v>0</v>
      </c>
      <c r="H151" s="324">
        <v>0</v>
      </c>
      <c r="I151" s="122">
        <f t="shared" si="4"/>
        <v>0</v>
      </c>
      <c r="J151" s="123" t="str">
        <f t="shared" si="5"/>
        <v>-</v>
      </c>
      <c r="K151" s="124"/>
    </row>
    <row r="152" spans="1:11" ht="56.25" hidden="1" x14ac:dyDescent="0.2">
      <c r="A152" s="167">
        <v>4110</v>
      </c>
      <c r="B152" s="149" t="s">
        <v>354</v>
      </c>
      <c r="C152" s="325">
        <v>0</v>
      </c>
      <c r="D152" s="325">
        <v>0</v>
      </c>
      <c r="E152" s="325">
        <v>0</v>
      </c>
      <c r="F152" s="325">
        <v>0</v>
      </c>
      <c r="G152" s="325">
        <v>0</v>
      </c>
      <c r="H152" s="325">
        <v>0</v>
      </c>
      <c r="I152" s="130">
        <f t="shared" si="4"/>
        <v>0</v>
      </c>
      <c r="J152" s="131" t="str">
        <f t="shared" si="5"/>
        <v>-</v>
      </c>
      <c r="K152" s="35"/>
    </row>
    <row r="153" spans="1:11" ht="56.25" hidden="1" x14ac:dyDescent="0.2">
      <c r="A153" s="167">
        <v>4130</v>
      </c>
      <c r="B153" s="149" t="s">
        <v>88</v>
      </c>
      <c r="C153" s="325">
        <v>0</v>
      </c>
      <c r="D153" s="325">
        <v>0</v>
      </c>
      <c r="E153" s="325">
        <v>0</v>
      </c>
      <c r="F153" s="325">
        <v>0</v>
      </c>
      <c r="G153" s="325">
        <v>0</v>
      </c>
      <c r="H153" s="325">
        <v>0</v>
      </c>
      <c r="I153" s="130">
        <f t="shared" si="4"/>
        <v>0</v>
      </c>
      <c r="J153" s="131" t="str">
        <f t="shared" si="5"/>
        <v>-</v>
      </c>
      <c r="K153" s="35"/>
    </row>
    <row r="154" spans="1:11" ht="19.5" hidden="1" x14ac:dyDescent="0.2">
      <c r="A154" s="166">
        <v>4200</v>
      </c>
      <c r="B154" s="160" t="s">
        <v>89</v>
      </c>
      <c r="C154" s="324">
        <v>0</v>
      </c>
      <c r="D154" s="324">
        <v>0</v>
      </c>
      <c r="E154" s="324">
        <v>0</v>
      </c>
      <c r="F154" s="324">
        <v>0</v>
      </c>
      <c r="G154" s="324">
        <v>0</v>
      </c>
      <c r="H154" s="324">
        <v>0</v>
      </c>
      <c r="I154" s="122">
        <f t="shared" si="4"/>
        <v>0</v>
      </c>
      <c r="J154" s="123" t="str">
        <f t="shared" si="5"/>
        <v>-</v>
      </c>
      <c r="K154" s="124"/>
    </row>
    <row r="155" spans="1:11" s="168" customFormat="1" ht="37.5" hidden="1" x14ac:dyDescent="0.2">
      <c r="A155" s="167">
        <v>4230</v>
      </c>
      <c r="B155" s="149" t="s">
        <v>90</v>
      </c>
      <c r="C155" s="325">
        <v>0</v>
      </c>
      <c r="D155" s="325">
        <v>0</v>
      </c>
      <c r="E155" s="325">
        <v>0</v>
      </c>
      <c r="F155" s="325">
        <v>0</v>
      </c>
      <c r="G155" s="325">
        <v>0</v>
      </c>
      <c r="H155" s="325">
        <v>0</v>
      </c>
      <c r="I155" s="130">
        <f t="shared" si="4"/>
        <v>0</v>
      </c>
      <c r="J155" s="131" t="str">
        <f t="shared" si="5"/>
        <v>-</v>
      </c>
      <c r="K155" s="35"/>
    </row>
    <row r="156" spans="1:11" ht="37.5" hidden="1" x14ac:dyDescent="0.2">
      <c r="A156" s="167">
        <v>4240</v>
      </c>
      <c r="B156" s="147" t="s">
        <v>166</v>
      </c>
      <c r="C156" s="325">
        <v>0</v>
      </c>
      <c r="D156" s="325">
        <v>0</v>
      </c>
      <c r="E156" s="325">
        <v>0</v>
      </c>
      <c r="F156" s="325">
        <v>0</v>
      </c>
      <c r="G156" s="325">
        <v>0</v>
      </c>
      <c r="H156" s="325">
        <v>0</v>
      </c>
      <c r="I156" s="130">
        <f t="shared" si="4"/>
        <v>0</v>
      </c>
      <c r="J156" s="131" t="str">
        <f t="shared" si="5"/>
        <v>-</v>
      </c>
      <c r="K156" s="35"/>
    </row>
    <row r="157" spans="1:11" hidden="1" x14ac:dyDescent="0.2">
      <c r="A157" s="167">
        <v>4250</v>
      </c>
      <c r="B157" s="169" t="s">
        <v>167</v>
      </c>
      <c r="C157" s="325">
        <v>0</v>
      </c>
      <c r="D157" s="325">
        <v>0</v>
      </c>
      <c r="E157" s="325">
        <v>0</v>
      </c>
      <c r="F157" s="325">
        <v>0</v>
      </c>
      <c r="G157" s="325">
        <v>0</v>
      </c>
      <c r="H157" s="325">
        <v>0</v>
      </c>
      <c r="I157" s="130">
        <f t="shared" si="4"/>
        <v>0</v>
      </c>
      <c r="J157" s="131" t="str">
        <f t="shared" si="5"/>
        <v>-</v>
      </c>
      <c r="K157" s="35"/>
    </row>
    <row r="158" spans="1:11" ht="19.5" hidden="1" x14ac:dyDescent="0.2">
      <c r="A158" s="120">
        <v>4300</v>
      </c>
      <c r="B158" s="148" t="s">
        <v>91</v>
      </c>
      <c r="C158" s="324">
        <v>0</v>
      </c>
      <c r="D158" s="324">
        <v>0</v>
      </c>
      <c r="E158" s="324">
        <v>0</v>
      </c>
      <c r="F158" s="324">
        <v>0</v>
      </c>
      <c r="G158" s="324">
        <v>0</v>
      </c>
      <c r="H158" s="324">
        <v>0</v>
      </c>
      <c r="I158" s="122">
        <f t="shared" si="4"/>
        <v>0</v>
      </c>
      <c r="J158" s="123" t="str">
        <f t="shared" si="5"/>
        <v>-</v>
      </c>
      <c r="K158" s="124"/>
    </row>
    <row r="159" spans="1:11" hidden="1" x14ac:dyDescent="0.2">
      <c r="A159" s="146">
        <v>4310</v>
      </c>
      <c r="B159" s="149" t="s">
        <v>92</v>
      </c>
      <c r="C159" s="325">
        <v>0</v>
      </c>
      <c r="D159" s="325">
        <v>0</v>
      </c>
      <c r="E159" s="325">
        <v>0</v>
      </c>
      <c r="F159" s="325">
        <v>0</v>
      </c>
      <c r="G159" s="325">
        <v>0</v>
      </c>
      <c r="H159" s="325">
        <v>0</v>
      </c>
      <c r="I159" s="130">
        <f t="shared" si="4"/>
        <v>0</v>
      </c>
      <c r="J159" s="131" t="str">
        <f t="shared" si="5"/>
        <v>-</v>
      </c>
      <c r="K159" s="35"/>
    </row>
    <row r="160" spans="1:11" ht="37.5" hidden="1" x14ac:dyDescent="0.2">
      <c r="A160" s="146">
        <v>4330</v>
      </c>
      <c r="B160" s="149" t="s">
        <v>444</v>
      </c>
      <c r="C160" s="325">
        <v>0</v>
      </c>
      <c r="D160" s="325">
        <v>0</v>
      </c>
      <c r="E160" s="325">
        <v>0</v>
      </c>
      <c r="F160" s="325">
        <v>0</v>
      </c>
      <c r="G160" s="325">
        <v>0</v>
      </c>
      <c r="H160" s="325">
        <v>0</v>
      </c>
      <c r="I160" s="130">
        <f t="shared" si="4"/>
        <v>0</v>
      </c>
      <c r="J160" s="131" t="str">
        <f t="shared" si="5"/>
        <v>-</v>
      </c>
      <c r="K160" s="35"/>
    </row>
    <row r="161" spans="1:11" ht="37.5" hidden="1" x14ac:dyDescent="0.2">
      <c r="A161" s="114">
        <v>4340</v>
      </c>
      <c r="B161" s="162" t="s">
        <v>168</v>
      </c>
      <c r="C161" s="325">
        <v>0</v>
      </c>
      <c r="D161" s="326">
        <v>0</v>
      </c>
      <c r="E161" s="325">
        <v>0</v>
      </c>
      <c r="F161" s="325">
        <v>0</v>
      </c>
      <c r="G161" s="325">
        <v>0</v>
      </c>
      <c r="H161" s="325">
        <v>0</v>
      </c>
      <c r="I161" s="130">
        <f t="shared" si="4"/>
        <v>0</v>
      </c>
      <c r="J161" s="131" t="str">
        <f t="shared" si="5"/>
        <v>-</v>
      </c>
      <c r="K161" s="35"/>
    </row>
    <row r="162" spans="1:11" ht="37.5" hidden="1" x14ac:dyDescent="0.2">
      <c r="A162" s="114">
        <v>4390</v>
      </c>
      <c r="B162" s="162" t="s">
        <v>445</v>
      </c>
      <c r="C162" s="325">
        <v>0</v>
      </c>
      <c r="D162" s="326">
        <v>0</v>
      </c>
      <c r="E162" s="325">
        <v>0</v>
      </c>
      <c r="F162" s="325">
        <v>0</v>
      </c>
      <c r="G162" s="325">
        <v>0</v>
      </c>
      <c r="H162" s="325">
        <v>0</v>
      </c>
      <c r="I162" s="130">
        <f t="shared" si="4"/>
        <v>0</v>
      </c>
      <c r="J162" s="131" t="str">
        <f t="shared" si="5"/>
        <v>-</v>
      </c>
      <c r="K162" s="35"/>
    </row>
    <row r="163" spans="1:11" ht="19.5" x14ac:dyDescent="0.2">
      <c r="A163" s="120" t="s">
        <v>93</v>
      </c>
      <c r="B163" s="121" t="s">
        <v>94</v>
      </c>
      <c r="C163" s="324">
        <v>21444158.740300003</v>
      </c>
      <c r="D163" s="324">
        <v>21181606.84</v>
      </c>
      <c r="E163" s="324">
        <v>5163170.7788173007</v>
      </c>
      <c r="F163" s="324">
        <v>10966170.114783477</v>
      </c>
      <c r="G163" s="324">
        <v>16869377.857761495</v>
      </c>
      <c r="H163" s="324">
        <v>22740448.660044245</v>
      </c>
      <c r="I163" s="122">
        <f t="shared" si="4"/>
        <v>1558841.8200442456</v>
      </c>
      <c r="J163" s="123">
        <f t="shared" si="5"/>
        <v>7.359412493203682E-2</v>
      </c>
      <c r="K163" s="124"/>
    </row>
    <row r="164" spans="1:11" ht="37.5" x14ac:dyDescent="0.2">
      <c r="A164" s="120" t="s">
        <v>95</v>
      </c>
      <c r="B164" s="121" t="s">
        <v>351</v>
      </c>
      <c r="C164" s="324">
        <v>1270950.3171999976</v>
      </c>
      <c r="D164" s="324">
        <v>1259663.6200000001</v>
      </c>
      <c r="E164" s="324">
        <v>222359.83308269922</v>
      </c>
      <c r="F164" s="324">
        <v>449351.36461652257</v>
      </c>
      <c r="G164" s="324">
        <v>707111.74353850447</v>
      </c>
      <c r="H164" s="324">
        <v>1153584.3720557559</v>
      </c>
      <c r="I164" s="122">
        <f t="shared" si="4"/>
        <v>-106079.24794424418</v>
      </c>
      <c r="J164" s="123">
        <f t="shared" si="5"/>
        <v>-8.4212361347900305E-2</v>
      </c>
      <c r="K164" s="432"/>
    </row>
    <row r="165" spans="1:11" ht="19.5" x14ac:dyDescent="0.2">
      <c r="A165" s="170">
        <v>5000</v>
      </c>
      <c r="B165" s="171" t="s">
        <v>96</v>
      </c>
      <c r="C165" s="335">
        <v>720108.91000000015</v>
      </c>
      <c r="D165" s="335">
        <v>801338.41</v>
      </c>
      <c r="E165" s="335">
        <v>218070</v>
      </c>
      <c r="F165" s="335">
        <v>436140</v>
      </c>
      <c r="G165" s="335">
        <v>654210</v>
      </c>
      <c r="H165" s="335">
        <v>872280</v>
      </c>
      <c r="I165" s="122">
        <f t="shared" si="4"/>
        <v>70941.589999999967</v>
      </c>
      <c r="J165" s="123">
        <f t="shared" si="5"/>
        <v>8.8528877581195639E-2</v>
      </c>
      <c r="K165" s="124"/>
    </row>
    <row r="166" spans="1:11" x14ac:dyDescent="0.2">
      <c r="A166" s="172">
        <v>5100</v>
      </c>
      <c r="B166" s="134" t="s">
        <v>446</v>
      </c>
      <c r="C166" s="325">
        <v>24784.909999999996</v>
      </c>
      <c r="D166" s="325">
        <v>27455.64</v>
      </c>
      <c r="E166" s="325">
        <v>7113</v>
      </c>
      <c r="F166" s="325">
        <v>14226</v>
      </c>
      <c r="G166" s="325">
        <v>21339</v>
      </c>
      <c r="H166" s="325">
        <v>28452</v>
      </c>
      <c r="I166" s="130">
        <f t="shared" si="4"/>
        <v>996.36000000000058</v>
      </c>
      <c r="J166" s="131">
        <f t="shared" si="5"/>
        <v>3.6289811492283573E-2</v>
      </c>
      <c r="K166" s="35"/>
    </row>
    <row r="167" spans="1:11" ht="37.5" x14ac:dyDescent="0.2">
      <c r="A167" s="173">
        <v>5200</v>
      </c>
      <c r="B167" s="126" t="s">
        <v>97</v>
      </c>
      <c r="C167" s="324">
        <v>695324.00000000012</v>
      </c>
      <c r="D167" s="324">
        <v>773882.77</v>
      </c>
      <c r="E167" s="324">
        <v>210957</v>
      </c>
      <c r="F167" s="324">
        <v>421914</v>
      </c>
      <c r="G167" s="324">
        <v>632871</v>
      </c>
      <c r="H167" s="324">
        <v>843828</v>
      </c>
      <c r="I167" s="122">
        <f t="shared" si="4"/>
        <v>69945.229999999981</v>
      </c>
      <c r="J167" s="123">
        <f t="shared" si="5"/>
        <v>9.0382203495756833E-2</v>
      </c>
      <c r="K167" s="444" t="s">
        <v>674</v>
      </c>
    </row>
    <row r="168" spans="1:11" ht="37.5" x14ac:dyDescent="0.2">
      <c r="A168" s="174">
        <v>5210</v>
      </c>
      <c r="B168" s="129" t="s">
        <v>98</v>
      </c>
      <c r="C168" s="325">
        <v>0</v>
      </c>
      <c r="D168" s="325">
        <v>0</v>
      </c>
      <c r="E168" s="325">
        <v>0</v>
      </c>
      <c r="F168" s="325">
        <v>0</v>
      </c>
      <c r="G168" s="325">
        <v>0</v>
      </c>
      <c r="H168" s="325">
        <v>0</v>
      </c>
      <c r="I168" s="130">
        <f t="shared" si="4"/>
        <v>0</v>
      </c>
      <c r="J168" s="131" t="str">
        <f t="shared" si="5"/>
        <v>-</v>
      </c>
      <c r="K168" s="430"/>
    </row>
    <row r="169" spans="1:11" ht="37.5" hidden="1" x14ac:dyDescent="0.2">
      <c r="A169" s="174">
        <v>5220</v>
      </c>
      <c r="B169" s="129" t="s">
        <v>99</v>
      </c>
      <c r="C169" s="325">
        <v>0</v>
      </c>
      <c r="D169" s="325">
        <v>0</v>
      </c>
      <c r="E169" s="325">
        <v>0</v>
      </c>
      <c r="F169" s="325">
        <v>0</v>
      </c>
      <c r="G169" s="325">
        <v>0</v>
      </c>
      <c r="H169" s="325">
        <v>0</v>
      </c>
      <c r="I169" s="130">
        <f t="shared" si="4"/>
        <v>0</v>
      </c>
      <c r="J169" s="131" t="str">
        <f t="shared" si="5"/>
        <v>-</v>
      </c>
      <c r="K169" s="35"/>
    </row>
    <row r="170" spans="1:11" ht="37.5" hidden="1" x14ac:dyDescent="0.2">
      <c r="A170" s="174">
        <v>5230</v>
      </c>
      <c r="B170" s="129" t="s">
        <v>100</v>
      </c>
      <c r="C170" s="325">
        <v>0</v>
      </c>
      <c r="D170" s="325">
        <v>0</v>
      </c>
      <c r="E170" s="325">
        <v>0</v>
      </c>
      <c r="F170" s="325">
        <v>0</v>
      </c>
      <c r="G170" s="325">
        <v>0</v>
      </c>
      <c r="H170" s="325">
        <v>0</v>
      </c>
      <c r="I170" s="130">
        <f t="shared" si="4"/>
        <v>0</v>
      </c>
      <c r="J170" s="131" t="str">
        <f t="shared" si="5"/>
        <v>-</v>
      </c>
      <c r="K170" s="35"/>
    </row>
    <row r="171" spans="1:11" ht="56.25" hidden="1" x14ac:dyDescent="0.2">
      <c r="A171" s="174">
        <v>5240</v>
      </c>
      <c r="B171" s="129" t="s">
        <v>356</v>
      </c>
      <c r="C171" s="325">
        <v>0</v>
      </c>
      <c r="D171" s="325">
        <v>0</v>
      </c>
      <c r="E171" s="325">
        <v>0</v>
      </c>
      <c r="F171" s="325">
        <v>0</v>
      </c>
      <c r="G171" s="325">
        <v>0</v>
      </c>
      <c r="H171" s="325">
        <v>0</v>
      </c>
      <c r="I171" s="130">
        <f t="shared" si="4"/>
        <v>0</v>
      </c>
      <c r="J171" s="131" t="str">
        <f t="shared" si="5"/>
        <v>-</v>
      </c>
      <c r="K171" s="35"/>
    </row>
    <row r="172" spans="1:11" ht="56.25" x14ac:dyDescent="0.2">
      <c r="A172" s="120" t="s">
        <v>101</v>
      </c>
      <c r="B172" s="121" t="s">
        <v>352</v>
      </c>
      <c r="C172" s="324">
        <v>550841.40719999745</v>
      </c>
      <c r="D172" s="324">
        <v>458325.21000000008</v>
      </c>
      <c r="E172" s="324">
        <v>4289.8330826992169</v>
      </c>
      <c r="F172" s="324">
        <v>13211.364616522565</v>
      </c>
      <c r="G172" s="324">
        <v>52901.743538504466</v>
      </c>
      <c r="H172" s="324">
        <v>281304.37205575593</v>
      </c>
      <c r="I172" s="122">
        <f t="shared" si="4"/>
        <v>-177020.83794424415</v>
      </c>
      <c r="J172" s="123">
        <f t="shared" si="5"/>
        <v>-0.38623412826068226</v>
      </c>
      <c r="K172" s="124"/>
    </row>
    <row r="173" spans="1:11" ht="19.5" x14ac:dyDescent="0.2">
      <c r="A173" s="175" t="s">
        <v>169</v>
      </c>
      <c r="B173" s="126" t="s">
        <v>102</v>
      </c>
      <c r="C173" s="324">
        <v>74519.600000000006</v>
      </c>
      <c r="D173" s="324">
        <v>63240.99</v>
      </c>
      <c r="E173" s="324">
        <v>191.3</v>
      </c>
      <c r="F173" s="324">
        <v>279.09000000000003</v>
      </c>
      <c r="G173" s="324">
        <v>1355.72</v>
      </c>
      <c r="H173" s="324">
        <v>63222.879999999997</v>
      </c>
      <c r="I173" s="122">
        <f t="shared" si="4"/>
        <v>-18.110000000000582</v>
      </c>
      <c r="J173" s="123">
        <f t="shared" si="5"/>
        <v>-2.863649035222343E-4</v>
      </c>
      <c r="K173" s="124"/>
    </row>
    <row r="174" spans="1:11" x14ac:dyDescent="0.2">
      <c r="A174" s="176" t="s">
        <v>170</v>
      </c>
      <c r="B174" s="129" t="s">
        <v>103</v>
      </c>
      <c r="C174" s="325">
        <v>1.05</v>
      </c>
      <c r="D174" s="325">
        <v>0.25</v>
      </c>
      <c r="E174" s="325">
        <v>0</v>
      </c>
      <c r="F174" s="325">
        <v>0.1</v>
      </c>
      <c r="G174" s="325">
        <v>0.25</v>
      </c>
      <c r="H174" s="325">
        <v>0.25</v>
      </c>
      <c r="I174" s="130">
        <f t="shared" si="4"/>
        <v>0</v>
      </c>
      <c r="J174" s="131">
        <f t="shared" si="5"/>
        <v>0</v>
      </c>
      <c r="K174" s="35"/>
    </row>
    <row r="175" spans="1:11" x14ac:dyDescent="0.2">
      <c r="A175" s="176" t="s">
        <v>171</v>
      </c>
      <c r="B175" s="129" t="s">
        <v>104</v>
      </c>
      <c r="C175" s="325">
        <v>27.3</v>
      </c>
      <c r="D175" s="325">
        <v>48.67</v>
      </c>
      <c r="E175" s="325">
        <v>3.6500000000000004</v>
      </c>
      <c r="F175" s="325">
        <v>15.77</v>
      </c>
      <c r="G175" s="325">
        <v>37.25</v>
      </c>
      <c r="H175" s="325">
        <v>50.56</v>
      </c>
      <c r="I175" s="130">
        <f t="shared" si="4"/>
        <v>1.8900000000000006</v>
      </c>
      <c r="J175" s="131">
        <f t="shared" si="5"/>
        <v>3.8832956646805021E-2</v>
      </c>
      <c r="K175" s="35"/>
    </row>
    <row r="176" spans="1:11" ht="37.5" x14ac:dyDescent="0.2">
      <c r="A176" s="176" t="s">
        <v>172</v>
      </c>
      <c r="B176" s="129" t="s">
        <v>353</v>
      </c>
      <c r="C176" s="325">
        <v>0</v>
      </c>
      <c r="D176" s="325">
        <v>0</v>
      </c>
      <c r="E176" s="325">
        <v>0</v>
      </c>
      <c r="F176" s="325">
        <v>0</v>
      </c>
      <c r="G176" s="325">
        <v>0</v>
      </c>
      <c r="H176" s="325">
        <v>0</v>
      </c>
      <c r="I176" s="130">
        <f t="shared" si="4"/>
        <v>0</v>
      </c>
      <c r="J176" s="131" t="str">
        <f t="shared" si="5"/>
        <v>-</v>
      </c>
      <c r="K176" s="35"/>
    </row>
    <row r="177" spans="1:11" x14ac:dyDescent="0.2">
      <c r="A177" s="176" t="s">
        <v>173</v>
      </c>
      <c r="B177" s="129" t="s">
        <v>105</v>
      </c>
      <c r="C177" s="325">
        <v>0</v>
      </c>
      <c r="D177" s="325">
        <v>0</v>
      </c>
      <c r="E177" s="325">
        <v>0</v>
      </c>
      <c r="F177" s="325">
        <v>0</v>
      </c>
      <c r="G177" s="325">
        <v>0</v>
      </c>
      <c r="H177" s="325">
        <v>0</v>
      </c>
      <c r="I177" s="130">
        <f t="shared" si="4"/>
        <v>0</v>
      </c>
      <c r="J177" s="131" t="str">
        <f t="shared" si="5"/>
        <v>-</v>
      </c>
      <c r="K177" s="35"/>
    </row>
    <row r="178" spans="1:11" x14ac:dyDescent="0.2">
      <c r="A178" s="176" t="s">
        <v>174</v>
      </c>
      <c r="B178" s="129" t="s">
        <v>106</v>
      </c>
      <c r="C178" s="325">
        <v>0</v>
      </c>
      <c r="D178" s="325">
        <v>0</v>
      </c>
      <c r="E178" s="325">
        <v>0</v>
      </c>
      <c r="F178" s="325">
        <v>0</v>
      </c>
      <c r="G178" s="325">
        <v>0</v>
      </c>
      <c r="H178" s="325">
        <v>0</v>
      </c>
      <c r="I178" s="130">
        <f t="shared" si="4"/>
        <v>0</v>
      </c>
      <c r="J178" s="131" t="str">
        <f t="shared" si="5"/>
        <v>-</v>
      </c>
      <c r="K178" s="35"/>
    </row>
    <row r="179" spans="1:11" ht="37.5" x14ac:dyDescent="0.2">
      <c r="A179" s="176" t="s">
        <v>175</v>
      </c>
      <c r="B179" s="129" t="s">
        <v>107</v>
      </c>
      <c r="C179" s="325">
        <v>58840</v>
      </c>
      <c r="D179" s="325">
        <v>58840</v>
      </c>
      <c r="E179" s="325">
        <v>0</v>
      </c>
      <c r="F179" s="325">
        <v>0</v>
      </c>
      <c r="G179" s="325">
        <v>0</v>
      </c>
      <c r="H179" s="325">
        <v>58840</v>
      </c>
      <c r="I179" s="130">
        <f t="shared" si="4"/>
        <v>0</v>
      </c>
      <c r="J179" s="131">
        <f t="shared" si="5"/>
        <v>0</v>
      </c>
      <c r="K179" s="35"/>
    </row>
    <row r="180" spans="1:11" ht="37.5" x14ac:dyDescent="0.2">
      <c r="A180" s="176" t="s">
        <v>176</v>
      </c>
      <c r="B180" s="129" t="s">
        <v>149</v>
      </c>
      <c r="C180" s="325">
        <v>0</v>
      </c>
      <c r="D180" s="325">
        <v>0</v>
      </c>
      <c r="E180" s="325">
        <v>0</v>
      </c>
      <c r="F180" s="325">
        <v>0</v>
      </c>
      <c r="G180" s="325">
        <v>0</v>
      </c>
      <c r="H180" s="325">
        <v>0</v>
      </c>
      <c r="I180" s="130">
        <f t="shared" si="4"/>
        <v>0</v>
      </c>
      <c r="J180" s="131" t="str">
        <f t="shared" si="5"/>
        <v>-</v>
      </c>
      <c r="K180" s="35"/>
    </row>
    <row r="181" spans="1:11" x14ac:dyDescent="0.2">
      <c r="A181" s="176" t="s">
        <v>177</v>
      </c>
      <c r="B181" s="129" t="s">
        <v>108</v>
      </c>
      <c r="C181" s="325">
        <v>15651.25</v>
      </c>
      <c r="D181" s="325">
        <v>4352.07</v>
      </c>
      <c r="E181" s="325">
        <v>187.64999999999998</v>
      </c>
      <c r="F181" s="325">
        <v>263.22000000000003</v>
      </c>
      <c r="G181" s="325">
        <v>1318.22</v>
      </c>
      <c r="H181" s="325">
        <v>4332.07</v>
      </c>
      <c r="I181" s="130">
        <f t="shared" si="4"/>
        <v>-20</v>
      </c>
      <c r="J181" s="131">
        <f t="shared" si="5"/>
        <v>-4.595514318473738E-3</v>
      </c>
      <c r="K181" s="35"/>
    </row>
    <row r="182" spans="1:11" ht="19.5" x14ac:dyDescent="0.2">
      <c r="A182" s="120" t="s">
        <v>109</v>
      </c>
      <c r="B182" s="121" t="s">
        <v>110</v>
      </c>
      <c r="C182" s="324">
        <v>22789628.657500003</v>
      </c>
      <c r="D182" s="324">
        <v>22504511.449999999</v>
      </c>
      <c r="E182" s="324">
        <v>5385721.9118999997</v>
      </c>
      <c r="F182" s="324">
        <v>11415800.569399999</v>
      </c>
      <c r="G182" s="324">
        <v>17577845.3213</v>
      </c>
      <c r="H182" s="324">
        <v>23957255.912100002</v>
      </c>
      <c r="I182" s="122">
        <f t="shared" si="4"/>
        <v>1452744.4621000029</v>
      </c>
      <c r="J182" s="123">
        <f t="shared" si="5"/>
        <v>6.4553476991832365E-2</v>
      </c>
      <c r="K182" s="124"/>
    </row>
    <row r="183" spans="1:11" ht="19.5" x14ac:dyDescent="0.2">
      <c r="A183" s="153">
        <v>8000</v>
      </c>
      <c r="B183" s="126" t="s">
        <v>111</v>
      </c>
      <c r="C183" s="324">
        <v>79009.150000000009</v>
      </c>
      <c r="D183" s="324">
        <v>1127488.2021999999</v>
      </c>
      <c r="E183" s="324">
        <v>3897.65</v>
      </c>
      <c r="F183" s="324">
        <v>10979.900000000001</v>
      </c>
      <c r="G183" s="324">
        <v>12444.592200000001</v>
      </c>
      <c r="H183" s="324">
        <v>242438.12220000001</v>
      </c>
      <c r="I183" s="122">
        <f t="shared" si="4"/>
        <v>-885050.08</v>
      </c>
      <c r="J183" s="123">
        <f t="shared" si="5"/>
        <v>-0.7849750252579627</v>
      </c>
      <c r="K183" s="124"/>
    </row>
    <row r="184" spans="1:11" x14ac:dyDescent="0.2">
      <c r="A184" s="146">
        <v>8100</v>
      </c>
      <c r="B184" s="129" t="s">
        <v>178</v>
      </c>
      <c r="C184" s="325">
        <v>0</v>
      </c>
      <c r="D184" s="325">
        <v>0</v>
      </c>
      <c r="E184" s="325">
        <v>0</v>
      </c>
      <c r="F184" s="325">
        <v>0</v>
      </c>
      <c r="G184" s="325">
        <v>0</v>
      </c>
      <c r="H184" s="325">
        <v>0</v>
      </c>
      <c r="I184" s="130">
        <f t="shared" si="4"/>
        <v>0</v>
      </c>
      <c r="J184" s="131" t="str">
        <f t="shared" si="5"/>
        <v>-</v>
      </c>
      <c r="K184" s="35"/>
    </row>
    <row r="185" spans="1:11" x14ac:dyDescent="0.2">
      <c r="A185" s="146">
        <v>8200</v>
      </c>
      <c r="B185" s="129" t="s">
        <v>114</v>
      </c>
      <c r="C185" s="325">
        <v>0</v>
      </c>
      <c r="D185" s="325">
        <v>0</v>
      </c>
      <c r="E185" s="325">
        <v>0</v>
      </c>
      <c r="F185" s="325">
        <v>0</v>
      </c>
      <c r="G185" s="325">
        <v>0</v>
      </c>
      <c r="H185" s="325">
        <v>0</v>
      </c>
      <c r="I185" s="130">
        <f t="shared" si="4"/>
        <v>0</v>
      </c>
      <c r="J185" s="131" t="str">
        <f t="shared" si="5"/>
        <v>-</v>
      </c>
      <c r="K185" s="35"/>
    </row>
    <row r="186" spans="1:11" x14ac:dyDescent="0.2">
      <c r="A186" s="146">
        <v>8300</v>
      </c>
      <c r="B186" s="129" t="s">
        <v>113</v>
      </c>
      <c r="C186" s="325">
        <v>19764.680000000004</v>
      </c>
      <c r="D186" s="325">
        <v>18911.52</v>
      </c>
      <c r="E186" s="325">
        <v>1409.85</v>
      </c>
      <c r="F186" s="325">
        <v>6738.8199999999988</v>
      </c>
      <c r="G186" s="325">
        <v>6950.619999999999</v>
      </c>
      <c r="H186" s="325">
        <v>19934.519999999997</v>
      </c>
      <c r="I186" s="130">
        <f t="shared" si="4"/>
        <v>1022.9999999999964</v>
      </c>
      <c r="J186" s="131">
        <f t="shared" si="5"/>
        <v>5.4094012538389108E-2</v>
      </c>
      <c r="K186" s="426" t="s">
        <v>675</v>
      </c>
    </row>
    <row r="187" spans="1:11" ht="37.5" x14ac:dyDescent="0.2">
      <c r="A187" s="146">
        <v>8600</v>
      </c>
      <c r="B187" s="129" t="s">
        <v>179</v>
      </c>
      <c r="C187" s="325">
        <v>33766.31</v>
      </c>
      <c r="D187" s="325">
        <v>31452.79</v>
      </c>
      <c r="E187" s="325">
        <v>0</v>
      </c>
      <c r="F187" s="325">
        <v>0</v>
      </c>
      <c r="G187" s="325">
        <v>0</v>
      </c>
      <c r="H187" s="325">
        <v>61453</v>
      </c>
      <c r="I187" s="130">
        <f t="shared" si="4"/>
        <v>30000.21</v>
      </c>
      <c r="J187" s="131">
        <f>IFERROR(I187/ABS(D187), "-")</f>
        <v>0.95381713355158626</v>
      </c>
      <c r="K187" s="426" t="s">
        <v>662</v>
      </c>
    </row>
    <row r="188" spans="1:11" ht="37.5" x14ac:dyDescent="0.2">
      <c r="A188" s="146">
        <v>8700</v>
      </c>
      <c r="B188" s="129" t="s">
        <v>355</v>
      </c>
      <c r="C188" s="325">
        <v>20000</v>
      </c>
      <c r="D188" s="325">
        <v>150991.94</v>
      </c>
      <c r="E188" s="325">
        <v>0</v>
      </c>
      <c r="F188" s="325">
        <v>0</v>
      </c>
      <c r="G188" s="325">
        <v>0</v>
      </c>
      <c r="H188" s="325">
        <v>150992</v>
      </c>
      <c r="I188" s="130">
        <f t="shared" si="4"/>
        <v>5.9999999997671694E-2</v>
      </c>
      <c r="J188" s="131">
        <f t="shared" ref="J188:J193" si="6">IFERROR(I188/ABS(D188), "-")</f>
        <v>3.9737220409030903E-7</v>
      </c>
      <c r="K188" s="430"/>
    </row>
    <row r="189" spans="1:11" x14ac:dyDescent="0.2">
      <c r="A189" s="146">
        <v>8800</v>
      </c>
      <c r="B189" s="177" t="s">
        <v>112</v>
      </c>
      <c r="C189" s="325">
        <v>5478.1600000000008</v>
      </c>
      <c r="D189" s="326">
        <v>9821.2422000000006</v>
      </c>
      <c r="E189" s="325">
        <v>2487.8000000000002</v>
      </c>
      <c r="F189" s="325">
        <v>4241.08</v>
      </c>
      <c r="G189" s="325">
        <v>5493.9722000000002</v>
      </c>
      <c r="H189" s="326">
        <v>10058.602199999999</v>
      </c>
      <c r="I189" s="130">
        <f t="shared" si="4"/>
        <v>237.35999999999876</v>
      </c>
      <c r="J189" s="131">
        <f t="shared" si="6"/>
        <v>2.4168022248753702E-2</v>
      </c>
      <c r="K189" s="35"/>
    </row>
    <row r="190" spans="1:11" ht="56.25" x14ac:dyDescent="0.2">
      <c r="A190" s="114">
        <v>8900</v>
      </c>
      <c r="B190" s="178" t="s">
        <v>180</v>
      </c>
      <c r="C190" s="325">
        <v>0</v>
      </c>
      <c r="D190" s="326">
        <v>916310.71</v>
      </c>
      <c r="E190" s="325">
        <v>0</v>
      </c>
      <c r="F190" s="325">
        <v>0</v>
      </c>
      <c r="G190" s="325">
        <v>0</v>
      </c>
      <c r="H190" s="326">
        <v>0</v>
      </c>
      <c r="I190" s="130">
        <f t="shared" si="4"/>
        <v>-916310.71</v>
      </c>
      <c r="J190" s="131">
        <f t="shared" si="6"/>
        <v>-1</v>
      </c>
      <c r="K190" s="35"/>
    </row>
    <row r="191" spans="1:11" ht="19.5" x14ac:dyDescent="0.2">
      <c r="A191" s="120" t="s">
        <v>115</v>
      </c>
      <c r="B191" s="121" t="s">
        <v>116</v>
      </c>
      <c r="C191" s="324">
        <v>22243276.800300002</v>
      </c>
      <c r="D191" s="324">
        <v>23110433.452200003</v>
      </c>
      <c r="E191" s="324">
        <v>5385138.4288173011</v>
      </c>
      <c r="F191" s="324">
        <v>11413290.014783477</v>
      </c>
      <c r="G191" s="324">
        <v>17536032.449961495</v>
      </c>
      <c r="H191" s="324">
        <v>23855166.782244243</v>
      </c>
      <c r="I191" s="122">
        <f t="shared" si="4"/>
        <v>744733.33004423976</v>
      </c>
      <c r="J191" s="123">
        <f t="shared" si="6"/>
        <v>3.2224983213083987E-2</v>
      </c>
      <c r="K191" s="124"/>
    </row>
    <row r="192" spans="1:11" x14ac:dyDescent="0.2">
      <c r="A192" s="179" t="s">
        <v>181</v>
      </c>
      <c r="B192" s="180" t="s">
        <v>117</v>
      </c>
      <c r="C192" s="325">
        <v>0</v>
      </c>
      <c r="D192" s="330">
        <v>0</v>
      </c>
      <c r="E192" s="325">
        <v>0</v>
      </c>
      <c r="F192" s="325">
        <v>0</v>
      </c>
      <c r="G192" s="325">
        <v>0</v>
      </c>
      <c r="H192" s="325">
        <v>0</v>
      </c>
      <c r="I192" s="130">
        <f t="shared" si="4"/>
        <v>0</v>
      </c>
      <c r="J192" s="131" t="str">
        <f t="shared" si="6"/>
        <v>-</v>
      </c>
      <c r="K192" s="35"/>
    </row>
    <row r="193" spans="1:11" ht="19.5" x14ac:dyDescent="0.2">
      <c r="A193" s="120" t="s">
        <v>182</v>
      </c>
      <c r="B193" s="121" t="s">
        <v>118</v>
      </c>
      <c r="C193" s="324">
        <v>546351.85719999694</v>
      </c>
      <c r="D193" s="324">
        <v>-605922.00219999952</v>
      </c>
      <c r="E193" s="324">
        <v>583.48308269921108</v>
      </c>
      <c r="F193" s="324">
        <v>2510.5546165225533</v>
      </c>
      <c r="G193" s="324">
        <v>41812.871338504425</v>
      </c>
      <c r="H193" s="324">
        <v>102089.12985575589</v>
      </c>
      <c r="I193" s="122">
        <f>H193-D193</f>
        <v>708011.13205575547</v>
      </c>
      <c r="J193" s="123">
        <f t="shared" si="6"/>
        <v>1.1684855963062699</v>
      </c>
      <c r="K193" s="124"/>
    </row>
    <row r="195" spans="1:11" x14ac:dyDescent="0.2">
      <c r="A195" s="445" t="s">
        <v>597</v>
      </c>
      <c r="B195" s="445"/>
      <c r="C195" s="445"/>
      <c r="D195" s="445"/>
      <c r="E195" s="445"/>
      <c r="F195" s="445"/>
      <c r="G195" s="445"/>
      <c r="H195" s="445"/>
      <c r="I195" s="445"/>
      <c r="J195" s="445"/>
      <c r="K195" s="445"/>
    </row>
  </sheetData>
  <mergeCells count="1">
    <mergeCell ref="A195:K195"/>
  </mergeCells>
  <pageMargins left="0.70866141732283472" right="0.70866141732283472"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E9B-5B6A-406F-BFC6-24DD7519FAB3}">
  <sheetPr>
    <tabColor rgb="FF92D050"/>
    <pageSetUpPr fitToPage="1"/>
  </sheetPr>
  <dimension ref="A1:K146"/>
  <sheetViews>
    <sheetView zoomScale="80" zoomScaleNormal="80" workbookViewId="0">
      <selection activeCell="H140" sqref="A1:H140"/>
    </sheetView>
  </sheetViews>
  <sheetFormatPr defaultRowHeight="18.75" x14ac:dyDescent="0.2"/>
  <cols>
    <col min="1" max="1" width="8.42578125" style="88" bestFit="1" customWidth="1"/>
    <col min="2" max="2" width="47.5703125" style="60" customWidth="1"/>
    <col min="3" max="3" width="16.42578125" style="60" customWidth="1"/>
    <col min="4" max="4" width="15.7109375" style="89" customWidth="1"/>
    <col min="5" max="8" width="15" style="60" customWidth="1"/>
    <col min="9" max="10" width="9.140625" style="60"/>
    <col min="11" max="11" width="10.42578125" style="60" bestFit="1" customWidth="1"/>
    <col min="12" max="16384" width="9.140625" style="60"/>
  </cols>
  <sheetData>
    <row r="1" spans="1:8" ht="56.25" x14ac:dyDescent="0.2">
      <c r="A1" s="33" t="s">
        <v>0</v>
      </c>
      <c r="B1" s="32" t="s">
        <v>469</v>
      </c>
      <c r="C1" s="1" t="s">
        <v>606</v>
      </c>
      <c r="D1" s="1" t="s">
        <v>607</v>
      </c>
      <c r="E1" s="1" t="s">
        <v>608</v>
      </c>
      <c r="F1" s="1" t="s">
        <v>609</v>
      </c>
      <c r="G1" s="1" t="s">
        <v>610</v>
      </c>
      <c r="H1" s="1" t="s">
        <v>611</v>
      </c>
    </row>
    <row r="2" spans="1:8" x14ac:dyDescent="0.2">
      <c r="A2" s="33">
        <v>1</v>
      </c>
      <c r="B2" s="33">
        <v>2</v>
      </c>
      <c r="C2" s="33">
        <v>3</v>
      </c>
      <c r="D2" s="33">
        <v>4</v>
      </c>
      <c r="E2" s="33">
        <v>5</v>
      </c>
      <c r="F2" s="33">
        <v>6</v>
      </c>
      <c r="G2" s="33">
        <v>7</v>
      </c>
      <c r="H2" s="33">
        <v>8</v>
      </c>
    </row>
    <row r="3" spans="1:8" ht="37.5" x14ac:dyDescent="0.2">
      <c r="A3" s="364">
        <v>10000</v>
      </c>
      <c r="B3" s="387" t="s">
        <v>183</v>
      </c>
      <c r="C3" s="368">
        <v>1845934</v>
      </c>
      <c r="D3" s="367">
        <f>C3</f>
        <v>1845934</v>
      </c>
      <c r="E3" s="372">
        <v>707277.83999999391</v>
      </c>
      <c r="F3" s="372">
        <v>707277.83999999391</v>
      </c>
      <c r="G3" s="372">
        <v>707277.83999999391</v>
      </c>
      <c r="H3" s="372">
        <v>707277.83999999391</v>
      </c>
    </row>
    <row r="4" spans="1:8" x14ac:dyDescent="0.2">
      <c r="A4" s="86" t="s">
        <v>192</v>
      </c>
      <c r="B4" s="446" t="s">
        <v>184</v>
      </c>
      <c r="C4" s="446"/>
      <c r="D4" s="446"/>
      <c r="E4" s="446"/>
      <c r="F4" s="446"/>
      <c r="G4" s="446"/>
      <c r="H4" s="446"/>
    </row>
    <row r="5" spans="1:8" x14ac:dyDescent="0.2">
      <c r="A5" s="364">
        <v>11000</v>
      </c>
      <c r="B5" s="387" t="s">
        <v>185</v>
      </c>
      <c r="C5" s="366">
        <f>C6+C24+C27+C31+C32+C33</f>
        <v>22350553</v>
      </c>
      <c r="D5" s="366">
        <f>D6+D24+D27+D31+D32+D33</f>
        <v>21860042.589999996</v>
      </c>
      <c r="E5" s="366">
        <f t="shared" ref="E5:H5" si="0">E6+E24+E27+E31+E32+E33</f>
        <v>5276138.4438999994</v>
      </c>
      <c r="F5" s="366">
        <f t="shared" si="0"/>
        <v>11194242.2552</v>
      </c>
      <c r="G5" s="366">
        <f t="shared" si="0"/>
        <v>17241923.922099996</v>
      </c>
      <c r="H5" s="366">
        <f t="shared" si="0"/>
        <v>23370780.095100001</v>
      </c>
    </row>
    <row r="6" spans="1:8" x14ac:dyDescent="0.2">
      <c r="A6" s="61">
        <v>11100</v>
      </c>
      <c r="B6" s="62" t="s">
        <v>186</v>
      </c>
      <c r="C6" s="256">
        <f t="shared" ref="C6:G6" si="1">C7+C12+C15+C18+C23</f>
        <v>20160366</v>
      </c>
      <c r="D6" s="256">
        <f t="shared" si="1"/>
        <v>19801756.43</v>
      </c>
      <c r="E6" s="256">
        <f t="shared" si="1"/>
        <v>4653937.26</v>
      </c>
      <c r="F6" s="256">
        <f t="shared" si="1"/>
        <v>9951817.2051999997</v>
      </c>
      <c r="G6" s="256">
        <f t="shared" si="1"/>
        <v>15380104.2052</v>
      </c>
      <c r="H6" s="256">
        <f>H7+H12+H15+H18+H23</f>
        <v>20930893.448600002</v>
      </c>
    </row>
    <row r="7" spans="1:8" s="64" customFormat="1" ht="37.5" x14ac:dyDescent="0.2">
      <c r="A7" s="61">
        <v>11110</v>
      </c>
      <c r="B7" s="62" t="s">
        <v>121</v>
      </c>
      <c r="C7" s="256">
        <f t="shared" ref="C7" si="2">SUM(C8:C11)</f>
        <v>19451455</v>
      </c>
      <c r="D7" s="256">
        <f>SUM(D8:D11)</f>
        <v>19061688.870000001</v>
      </c>
      <c r="E7" s="256">
        <f t="shared" ref="E7:H7" si="3">SUM(E8:E11)</f>
        <v>4458483</v>
      </c>
      <c r="F7" s="256">
        <f t="shared" si="3"/>
        <v>9551940</v>
      </c>
      <c r="G7" s="256">
        <f t="shared" si="3"/>
        <v>14784111</v>
      </c>
      <c r="H7" s="256">
        <f t="shared" si="3"/>
        <v>20123731</v>
      </c>
    </row>
    <row r="8" spans="1:8" x14ac:dyDescent="0.2">
      <c r="A8" s="87">
        <v>11111</v>
      </c>
      <c r="B8" s="3" t="s">
        <v>5</v>
      </c>
      <c r="C8" s="37">
        <v>17891543</v>
      </c>
      <c r="D8" s="42">
        <v>17766591.73</v>
      </c>
      <c r="E8" s="37">
        <v>4069507</v>
      </c>
      <c r="F8" s="37">
        <v>8693948</v>
      </c>
      <c r="G8" s="37">
        <v>13503366</v>
      </c>
      <c r="H8" s="37">
        <v>18497761</v>
      </c>
    </row>
    <row r="9" spans="1:8" ht="37.5" x14ac:dyDescent="0.2">
      <c r="A9" s="87">
        <v>11112</v>
      </c>
      <c r="B9" s="3" t="s">
        <v>6</v>
      </c>
      <c r="C9" s="37">
        <v>62888</v>
      </c>
      <c r="D9" s="42">
        <v>48474.57</v>
      </c>
      <c r="E9" s="37">
        <v>13835</v>
      </c>
      <c r="F9" s="37">
        <v>29557</v>
      </c>
      <c r="G9" s="37">
        <v>45908</v>
      </c>
      <c r="H9" s="37">
        <v>62888</v>
      </c>
    </row>
    <row r="10" spans="1:8" x14ac:dyDescent="0.2">
      <c r="A10" s="87">
        <v>11113</v>
      </c>
      <c r="B10" s="3" t="s">
        <v>7</v>
      </c>
      <c r="C10" s="37">
        <v>1471146</v>
      </c>
      <c r="D10" s="42">
        <v>1242157.07</v>
      </c>
      <c r="E10" s="37">
        <v>367515</v>
      </c>
      <c r="F10" s="37">
        <v>811595</v>
      </c>
      <c r="G10" s="37">
        <v>1209736</v>
      </c>
      <c r="H10" s="37">
        <v>1531311</v>
      </c>
    </row>
    <row r="11" spans="1:8" ht="37.5" x14ac:dyDescent="0.2">
      <c r="A11" s="87">
        <v>11114</v>
      </c>
      <c r="B11" s="3" t="s">
        <v>303</v>
      </c>
      <c r="C11" s="37">
        <v>25878</v>
      </c>
      <c r="D11" s="42">
        <v>4465.5</v>
      </c>
      <c r="E11" s="37">
        <v>7626</v>
      </c>
      <c r="F11" s="37">
        <v>16840</v>
      </c>
      <c r="G11" s="37">
        <v>25101</v>
      </c>
      <c r="H11" s="37">
        <v>31771</v>
      </c>
    </row>
    <row r="12" spans="1:8" s="65" customFormat="1" ht="37.5" hidden="1" x14ac:dyDescent="0.2">
      <c r="A12" s="61">
        <v>11120</v>
      </c>
      <c r="B12" s="2" t="s">
        <v>127</v>
      </c>
      <c r="C12" s="256">
        <f t="shared" ref="C12" si="4">SUM(C13:C14)</f>
        <v>0</v>
      </c>
      <c r="D12" s="256">
        <f t="shared" ref="D12" si="5">SUM(D13:D14)</f>
        <v>0</v>
      </c>
      <c r="E12" s="63"/>
      <c r="F12" s="63"/>
      <c r="G12" s="63"/>
      <c r="H12" s="63"/>
    </row>
    <row r="13" spans="1:8" hidden="1" x14ac:dyDescent="0.2">
      <c r="A13" s="87">
        <v>11121</v>
      </c>
      <c r="B13" s="3" t="s">
        <v>129</v>
      </c>
      <c r="C13" s="37"/>
      <c r="D13" s="41"/>
      <c r="E13" s="37"/>
      <c r="F13" s="37"/>
      <c r="G13" s="37"/>
      <c r="H13" s="37"/>
    </row>
    <row r="14" spans="1:8" hidden="1" x14ac:dyDescent="0.2">
      <c r="A14" s="87">
        <v>11122</v>
      </c>
      <c r="B14" s="3" t="s">
        <v>131</v>
      </c>
      <c r="C14" s="37"/>
      <c r="D14" s="41"/>
      <c r="E14" s="37"/>
      <c r="F14" s="37"/>
      <c r="G14" s="37"/>
      <c r="H14" s="37"/>
    </row>
    <row r="15" spans="1:8" s="65" customFormat="1" ht="37.5" x14ac:dyDescent="0.2">
      <c r="A15" s="61">
        <v>11130</v>
      </c>
      <c r="B15" s="2" t="s">
        <v>133</v>
      </c>
      <c r="C15" s="256">
        <f t="shared" ref="C15:H15" si="6">SUM(C16:C17)</f>
        <v>708911</v>
      </c>
      <c r="D15" s="256">
        <f t="shared" si="6"/>
        <v>740067.56</v>
      </c>
      <c r="E15" s="256">
        <f t="shared" si="6"/>
        <v>195454.26</v>
      </c>
      <c r="F15" s="256">
        <f t="shared" si="6"/>
        <v>399877.20520000003</v>
      </c>
      <c r="G15" s="256">
        <f t="shared" si="6"/>
        <v>595993.20519999997</v>
      </c>
      <c r="H15" s="256">
        <f t="shared" si="6"/>
        <v>807162.44859999989</v>
      </c>
    </row>
    <row r="16" spans="1:8" x14ac:dyDescent="0.2">
      <c r="A16" s="87">
        <v>11131</v>
      </c>
      <c r="B16" s="3" t="s">
        <v>135</v>
      </c>
      <c r="C16" s="37">
        <v>708911</v>
      </c>
      <c r="D16" s="42">
        <v>740067.56</v>
      </c>
      <c r="E16" s="37">
        <v>195454.26</v>
      </c>
      <c r="F16" s="37">
        <v>399877.20520000003</v>
      </c>
      <c r="G16" s="37">
        <v>595993.20519999997</v>
      </c>
      <c r="H16" s="37">
        <v>807162.44859999989</v>
      </c>
    </row>
    <row r="17" spans="1:8" ht="37.5" hidden="1" x14ac:dyDescent="0.2">
      <c r="A17" s="87">
        <v>11132</v>
      </c>
      <c r="B17" s="3" t="s">
        <v>11</v>
      </c>
      <c r="C17" s="37"/>
      <c r="D17" s="41"/>
      <c r="E17" s="37"/>
      <c r="F17" s="37"/>
      <c r="G17" s="37"/>
      <c r="H17" s="37"/>
    </row>
    <row r="18" spans="1:8" s="65" customFormat="1" ht="19.5" hidden="1" x14ac:dyDescent="0.2">
      <c r="A18" s="61">
        <v>11140</v>
      </c>
      <c r="B18" s="2" t="s">
        <v>108</v>
      </c>
      <c r="C18" s="256">
        <f t="shared" ref="C18" si="7">SUM(C19:C22)</f>
        <v>0</v>
      </c>
      <c r="D18" s="256">
        <f t="shared" ref="D18" si="8">SUM(D19:D22)</f>
        <v>0</v>
      </c>
      <c r="E18" s="63"/>
      <c r="F18" s="63"/>
      <c r="G18" s="63"/>
      <c r="H18" s="63"/>
    </row>
    <row r="19" spans="1:8" ht="37.5" hidden="1" x14ac:dyDescent="0.2">
      <c r="A19" s="87">
        <v>11141</v>
      </c>
      <c r="B19" s="3" t="s">
        <v>9</v>
      </c>
      <c r="C19" s="37"/>
      <c r="D19" s="41"/>
      <c r="E19" s="37"/>
      <c r="F19" s="37"/>
      <c r="G19" s="37"/>
      <c r="H19" s="37"/>
    </row>
    <row r="20" spans="1:8" ht="37.5" hidden="1" x14ac:dyDescent="0.2">
      <c r="A20" s="87">
        <v>11142</v>
      </c>
      <c r="B20" s="3" t="s">
        <v>470</v>
      </c>
      <c r="C20" s="37"/>
      <c r="D20" s="41"/>
      <c r="E20" s="37"/>
      <c r="F20" s="37"/>
      <c r="G20" s="37"/>
      <c r="H20" s="37"/>
    </row>
    <row r="21" spans="1:8" ht="56.25" hidden="1" x14ac:dyDescent="0.2">
      <c r="A21" s="87">
        <v>11143</v>
      </c>
      <c r="B21" s="3" t="s">
        <v>12</v>
      </c>
      <c r="C21" s="37"/>
      <c r="D21" s="41"/>
      <c r="E21" s="37"/>
      <c r="F21" s="37"/>
      <c r="G21" s="37"/>
      <c r="H21" s="37"/>
    </row>
    <row r="22" spans="1:8" hidden="1" x14ac:dyDescent="0.2">
      <c r="A22" s="87">
        <v>11144</v>
      </c>
      <c r="B22" s="3" t="s">
        <v>13</v>
      </c>
      <c r="C22" s="37"/>
      <c r="D22" s="41"/>
      <c r="E22" s="37"/>
      <c r="F22" s="37"/>
      <c r="G22" s="37"/>
      <c r="H22" s="37"/>
    </row>
    <row r="23" spans="1:8" ht="37.5" hidden="1" x14ac:dyDescent="0.2">
      <c r="A23" s="61">
        <v>11150</v>
      </c>
      <c r="B23" s="2" t="s">
        <v>415</v>
      </c>
      <c r="C23" s="40"/>
      <c r="D23" s="361"/>
      <c r="E23" s="40"/>
      <c r="F23" s="40"/>
      <c r="G23" s="40"/>
      <c r="H23" s="40"/>
    </row>
    <row r="24" spans="1:8" hidden="1" x14ac:dyDescent="0.2">
      <c r="A24" s="61">
        <v>11200</v>
      </c>
      <c r="B24" s="2" t="s">
        <v>14</v>
      </c>
      <c r="C24" s="351">
        <f t="shared" ref="C24" si="9">C25+C26</f>
        <v>0</v>
      </c>
      <c r="D24" s="359">
        <f>D25+D26</f>
        <v>0</v>
      </c>
      <c r="E24" s="30"/>
      <c r="F24" s="30"/>
      <c r="G24" s="30"/>
      <c r="H24" s="30"/>
    </row>
    <row r="25" spans="1:8" hidden="1" x14ac:dyDescent="0.2">
      <c r="A25" s="74">
        <v>11210</v>
      </c>
      <c r="B25" s="48" t="s">
        <v>417</v>
      </c>
      <c r="C25" s="352"/>
      <c r="D25" s="234"/>
      <c r="E25" s="39"/>
      <c r="F25" s="39"/>
      <c r="G25" s="39"/>
      <c r="H25" s="39"/>
    </row>
    <row r="26" spans="1:8" hidden="1" x14ac:dyDescent="0.2">
      <c r="A26" s="74">
        <v>11220</v>
      </c>
      <c r="B26" s="48" t="s">
        <v>418</v>
      </c>
      <c r="C26" s="352"/>
      <c r="D26" s="234"/>
      <c r="E26" s="39"/>
      <c r="F26" s="39"/>
      <c r="G26" s="39"/>
      <c r="H26" s="39"/>
    </row>
    <row r="27" spans="1:8" x14ac:dyDescent="0.2">
      <c r="A27" s="61">
        <v>11300</v>
      </c>
      <c r="B27" s="29" t="s">
        <v>187</v>
      </c>
      <c r="C27" s="351">
        <f>SUM(C28:C30)</f>
        <v>1402227</v>
      </c>
      <c r="D27" s="351">
        <f t="shared" ref="D27:H27" si="10">SUM(D28:D30)</f>
        <v>1322130.7000000002</v>
      </c>
      <c r="E27" s="351">
        <f>SUM(E28:E30)</f>
        <v>443145</v>
      </c>
      <c r="F27" s="351">
        <f t="shared" si="10"/>
        <v>869730.47290000005</v>
      </c>
      <c r="G27" s="351">
        <f t="shared" si="10"/>
        <v>1281498.8625</v>
      </c>
      <c r="H27" s="351">
        <f t="shared" si="10"/>
        <v>1678028.6835</v>
      </c>
    </row>
    <row r="28" spans="1:8" x14ac:dyDescent="0.2">
      <c r="A28" s="87">
        <v>11310</v>
      </c>
      <c r="B28" s="3" t="s">
        <v>145</v>
      </c>
      <c r="C28" s="37">
        <v>1170782</v>
      </c>
      <c r="D28" s="42">
        <f>1070909.34</f>
        <v>1070909.3400000001</v>
      </c>
      <c r="E28" s="37">
        <v>377089</v>
      </c>
      <c r="F28" s="37">
        <v>747519.00690000004</v>
      </c>
      <c r="G28" s="37">
        <v>1099478.1965000001</v>
      </c>
      <c r="H28" s="37">
        <v>1412078.5345000001</v>
      </c>
    </row>
    <row r="29" spans="1:8" x14ac:dyDescent="0.2">
      <c r="A29" s="87">
        <v>11320</v>
      </c>
      <c r="B29" s="3" t="s">
        <v>146</v>
      </c>
      <c r="C29" s="37"/>
      <c r="D29" s="42"/>
      <c r="E29" s="37"/>
      <c r="F29" s="37"/>
      <c r="G29" s="37"/>
      <c r="H29" s="37"/>
    </row>
    <row r="30" spans="1:8" ht="18.75" customHeight="1" x14ac:dyDescent="0.2">
      <c r="A30" s="87">
        <v>11330</v>
      </c>
      <c r="B30" s="3" t="s">
        <v>16</v>
      </c>
      <c r="C30" s="37">
        <v>231445</v>
      </c>
      <c r="D30" s="42">
        <f>0.33+41.35+236084.19+119659.85+52+4.51+375.13-97479-7517</f>
        <v>251221.36</v>
      </c>
      <c r="E30" s="37">
        <f>66056</f>
        <v>66056</v>
      </c>
      <c r="F30" s="37">
        <f>122211.466</f>
        <v>122211.466</v>
      </c>
      <c r="G30" s="37">
        <v>182020.66600000003</v>
      </c>
      <c r="H30" s="37">
        <v>265950.14900000003</v>
      </c>
    </row>
    <row r="31" spans="1:8" ht="37.5" x14ac:dyDescent="0.2">
      <c r="A31" s="74">
        <v>11400</v>
      </c>
      <c r="B31" s="83" t="s">
        <v>17</v>
      </c>
      <c r="C31" s="353">
        <v>325025</v>
      </c>
      <c r="D31" s="406">
        <v>317416.83</v>
      </c>
      <c r="E31" s="38">
        <v>68433.06</v>
      </c>
      <c r="F31" s="38">
        <v>141142.82</v>
      </c>
      <c r="G31" s="38">
        <v>217652.25</v>
      </c>
      <c r="H31" s="38">
        <v>291911.13</v>
      </c>
    </row>
    <row r="32" spans="1:8" ht="37.5" x14ac:dyDescent="0.2">
      <c r="A32" s="74">
        <v>11500</v>
      </c>
      <c r="B32" s="83" t="s">
        <v>302</v>
      </c>
      <c r="C32" s="353">
        <v>307370</v>
      </c>
      <c r="D32" s="406">
        <v>286092.15999999997</v>
      </c>
      <c r="E32" s="38">
        <v>75432.853900000002</v>
      </c>
      <c r="F32" s="38">
        <v>158624.34710000001</v>
      </c>
      <c r="G32" s="38">
        <v>249764.83440000002</v>
      </c>
      <c r="H32" s="38">
        <v>320036.19300000003</v>
      </c>
    </row>
    <row r="33" spans="1:8" ht="19.5" customHeight="1" x14ac:dyDescent="0.2">
      <c r="A33" s="74">
        <v>11600</v>
      </c>
      <c r="B33" s="5" t="s">
        <v>20</v>
      </c>
      <c r="C33" s="353">
        <v>155565</v>
      </c>
      <c r="D33" s="406">
        <v>132646.47</v>
      </c>
      <c r="E33" s="38">
        <v>35190.269999999997</v>
      </c>
      <c r="F33" s="38">
        <v>72927.41</v>
      </c>
      <c r="G33" s="38">
        <v>112903.77</v>
      </c>
      <c r="H33" s="38">
        <v>149910.64000000001</v>
      </c>
    </row>
    <row r="34" spans="1:8" x14ac:dyDescent="0.2">
      <c r="A34" s="364">
        <v>12000</v>
      </c>
      <c r="B34" s="387" t="s">
        <v>188</v>
      </c>
      <c r="C34" s="371">
        <f t="shared" ref="C34:H34" si="11">C35+C42</f>
        <v>21306998</v>
      </c>
      <c r="D34" s="371">
        <f t="shared" si="11"/>
        <v>21831452.150000002</v>
      </c>
      <c r="E34" s="371">
        <f t="shared" si="11"/>
        <v>5122289.5547188036</v>
      </c>
      <c r="F34" s="371">
        <f t="shared" si="11"/>
        <v>10882893.11478347</v>
      </c>
      <c r="G34" s="371">
        <f t="shared" si="11"/>
        <v>16748013.857761499</v>
      </c>
      <c r="H34" s="371">
        <f t="shared" si="11"/>
        <v>22571947.660044249</v>
      </c>
    </row>
    <row r="35" spans="1:8" x14ac:dyDescent="0.2">
      <c r="A35" s="364">
        <v>12100</v>
      </c>
      <c r="B35" s="370" t="s">
        <v>189</v>
      </c>
      <c r="C35" s="388">
        <f t="shared" ref="C35:D35" si="12">C36+C37+C38+C39+C40+C41</f>
        <v>20432901</v>
      </c>
      <c r="D35" s="388">
        <f t="shared" si="12"/>
        <v>20472673.120000001</v>
      </c>
      <c r="E35" s="388">
        <f>E36+E37+E38+E39+E40+E41</f>
        <v>4857883.2911899993</v>
      </c>
      <c r="F35" s="388">
        <f t="shared" ref="F35:H35" si="13">F36+F37+F38+F39+F40+F41</f>
        <v>10343239.877275312</v>
      </c>
      <c r="G35" s="388">
        <f t="shared" si="13"/>
        <v>15934249.266753687</v>
      </c>
      <c r="H35" s="388">
        <f t="shared" si="13"/>
        <v>21428845.187466592</v>
      </c>
    </row>
    <row r="36" spans="1:8" x14ac:dyDescent="0.2">
      <c r="A36" s="87">
        <v>12110</v>
      </c>
      <c r="B36" s="70" t="s">
        <v>304</v>
      </c>
      <c r="C36" s="37">
        <v>11132060</v>
      </c>
      <c r="D36" s="42">
        <v>11578365.33</v>
      </c>
      <c r="E36" s="37">
        <v>2560587.31</v>
      </c>
      <c r="F36" s="37">
        <v>5532507.5099999998</v>
      </c>
      <c r="G36" s="37">
        <v>8409030.1380000003</v>
      </c>
      <c r="H36" s="37">
        <v>11240563.328000002</v>
      </c>
    </row>
    <row r="37" spans="1:8" ht="75" x14ac:dyDescent="0.2">
      <c r="A37" s="87">
        <v>12120</v>
      </c>
      <c r="B37" s="70" t="s">
        <v>305</v>
      </c>
      <c r="C37" s="37">
        <v>2807524</v>
      </c>
      <c r="D37" s="42">
        <v>2889588.29</v>
      </c>
      <c r="E37" s="37">
        <v>623590.42658999993</v>
      </c>
      <c r="F37" s="37">
        <v>1319707.9182099998</v>
      </c>
      <c r="G37" s="37">
        <v>2026879.6350499999</v>
      </c>
      <c r="H37" s="37">
        <v>2714278.0663000001</v>
      </c>
    </row>
    <row r="38" spans="1:8" ht="37.5" x14ac:dyDescent="0.2">
      <c r="A38" s="87">
        <v>12130</v>
      </c>
      <c r="B38" s="70" t="s">
        <v>306</v>
      </c>
      <c r="C38" s="37">
        <v>495</v>
      </c>
      <c r="D38" s="42">
        <v>270</v>
      </c>
      <c r="E38" s="37">
        <v>1008.26</v>
      </c>
      <c r="F38" s="37">
        <v>1008.26</v>
      </c>
      <c r="G38" s="37">
        <v>1278.26</v>
      </c>
      <c r="H38" s="37">
        <v>1278.26</v>
      </c>
    </row>
    <row r="39" spans="1:8" x14ac:dyDescent="0.2">
      <c r="A39" s="87">
        <v>12140</v>
      </c>
      <c r="B39" s="70" t="s">
        <v>307</v>
      </c>
      <c r="C39" s="37">
        <v>1679775</v>
      </c>
      <c r="D39" s="42">
        <f>1574995.05</f>
        <v>1574995.05</v>
      </c>
      <c r="E39" s="37">
        <v>518598.29459999991</v>
      </c>
      <c r="F39" s="37">
        <v>940257.70957133325</v>
      </c>
      <c r="G39" s="37">
        <v>1620502.6227976666</v>
      </c>
      <c r="H39" s="37">
        <v>2263200.2084319997</v>
      </c>
    </row>
    <row r="40" spans="1:8" ht="55.5" customHeight="1" x14ac:dyDescent="0.2">
      <c r="A40" s="87">
        <v>12150</v>
      </c>
      <c r="B40" s="70" t="s">
        <v>308</v>
      </c>
      <c r="C40" s="37">
        <f>4950087-4559415</f>
        <v>390672</v>
      </c>
      <c r="D40" s="42">
        <f>4429454.45-4118862.13</f>
        <v>310592.3200000003</v>
      </c>
      <c r="E40" s="37">
        <f>1194980-E41-40881</f>
        <v>64630</v>
      </c>
      <c r="F40" s="37">
        <f>2633035.47949398-F41-83277</f>
        <v>173461.04959397996</v>
      </c>
      <c r="G40" s="37">
        <f>3997922.61090602-G41-121364</f>
        <v>246516.34240602003</v>
      </c>
      <c r="H40" s="37">
        <f>5378026.32473459-168501-H41</f>
        <v>314871.38123458996</v>
      </c>
    </row>
    <row r="41" spans="1:8" ht="75" x14ac:dyDescent="0.2">
      <c r="A41" s="87">
        <v>12160</v>
      </c>
      <c r="B41" s="70" t="s">
        <v>309</v>
      </c>
      <c r="C41" s="37">
        <f>4559415-137040</f>
        <v>4422375</v>
      </c>
      <c r="D41" s="42">
        <v>4118862.13</v>
      </c>
      <c r="E41" s="37">
        <f>1130350-40881</f>
        <v>1089469</v>
      </c>
      <c r="F41" s="37">
        <f>2459574.4299-83277</f>
        <v>2376297.4298999999</v>
      </c>
      <c r="G41" s="37">
        <f>3751406.2685-121364</f>
        <v>3630042.2684999998</v>
      </c>
      <c r="H41" s="37">
        <f>5063154.9435-168501</f>
        <v>4894653.9435000001</v>
      </c>
    </row>
    <row r="42" spans="1:8" ht="37.5" x14ac:dyDescent="0.2">
      <c r="A42" s="61">
        <v>12200</v>
      </c>
      <c r="B42" s="62" t="s">
        <v>190</v>
      </c>
      <c r="C42" s="351">
        <f t="shared" ref="C42:D42" si="14">C43+C44</f>
        <v>874097</v>
      </c>
      <c r="D42" s="351">
        <f t="shared" si="14"/>
        <v>1358779.03</v>
      </c>
      <c r="E42" s="351">
        <f>E43+E44</f>
        <v>264406.26352880441</v>
      </c>
      <c r="F42" s="351">
        <f t="shared" ref="F42:H42" si="15">F43+F44</f>
        <v>539653.2375081582</v>
      </c>
      <c r="G42" s="351">
        <f t="shared" si="15"/>
        <v>813764.59100781207</v>
      </c>
      <c r="H42" s="351">
        <f t="shared" si="15"/>
        <v>1143102.4725776564</v>
      </c>
    </row>
    <row r="43" spans="1:8" ht="18" customHeight="1" x14ac:dyDescent="0.2">
      <c r="A43" s="87">
        <v>12210</v>
      </c>
      <c r="B43" s="70" t="s">
        <v>310</v>
      </c>
      <c r="C43" s="37"/>
      <c r="D43" s="41"/>
      <c r="E43" s="37"/>
      <c r="F43" s="37"/>
      <c r="G43" s="37"/>
      <c r="H43" s="37"/>
    </row>
    <row r="44" spans="1:8" x14ac:dyDescent="0.2">
      <c r="A44" s="87">
        <v>12220</v>
      </c>
      <c r="B44" s="70" t="s">
        <v>311</v>
      </c>
      <c r="C44" s="37">
        <v>874097</v>
      </c>
      <c r="D44" s="42">
        <v>1358779.03</v>
      </c>
      <c r="E44" s="37">
        <v>264406.26352880441</v>
      </c>
      <c r="F44" s="37">
        <v>539653.2375081582</v>
      </c>
      <c r="G44" s="37">
        <v>813764.59100781207</v>
      </c>
      <c r="H44" s="37">
        <v>1143102.4725776564</v>
      </c>
    </row>
    <row r="45" spans="1:8" ht="37.5" x14ac:dyDescent="0.2">
      <c r="A45" s="364">
        <v>13000</v>
      </c>
      <c r="B45" s="370" t="s">
        <v>191</v>
      </c>
      <c r="C45" s="371">
        <f t="shared" ref="C45:H45" si="16">C5-C34</f>
        <v>1043555</v>
      </c>
      <c r="D45" s="371">
        <f t="shared" si="16"/>
        <v>28590.439999993891</v>
      </c>
      <c r="E45" s="371">
        <f t="shared" si="16"/>
        <v>153848.88918119576</v>
      </c>
      <c r="F45" s="371">
        <f t="shared" si="16"/>
        <v>311349.14041653089</v>
      </c>
      <c r="G45" s="371">
        <f t="shared" si="16"/>
        <v>493910.06433849782</v>
      </c>
      <c r="H45" s="371">
        <f t="shared" si="16"/>
        <v>798832.43505575135</v>
      </c>
    </row>
    <row r="46" spans="1:8" x14ac:dyDescent="0.2">
      <c r="A46" s="86" t="s">
        <v>197</v>
      </c>
      <c r="B46" s="446" t="s">
        <v>193</v>
      </c>
      <c r="C46" s="446"/>
      <c r="D46" s="446"/>
      <c r="E46" s="446"/>
      <c r="F46" s="446"/>
      <c r="G46" s="446"/>
      <c r="H46" s="446"/>
    </row>
    <row r="47" spans="1:8" x14ac:dyDescent="0.2">
      <c r="A47" s="380">
        <v>14000</v>
      </c>
      <c r="B47" s="381" t="s">
        <v>318</v>
      </c>
      <c r="C47" s="382">
        <f t="shared" ref="C47" si="17">C48+C49+C50+C51+C52</f>
        <v>0</v>
      </c>
      <c r="D47" s="383">
        <f>D48+D49+D50+D51+D52</f>
        <v>0</v>
      </c>
      <c r="E47" s="383">
        <f t="shared" ref="E47:H47" si="18">E48+E49+E50+E51+E52</f>
        <v>0</v>
      </c>
      <c r="F47" s="383">
        <f t="shared" si="18"/>
        <v>0</v>
      </c>
      <c r="G47" s="383">
        <f t="shared" si="18"/>
        <v>0</v>
      </c>
      <c r="H47" s="383">
        <f t="shared" si="18"/>
        <v>0</v>
      </c>
    </row>
    <row r="48" spans="1:8" ht="56.25" x14ac:dyDescent="0.2">
      <c r="A48" s="380">
        <v>14100</v>
      </c>
      <c r="B48" s="381" t="s">
        <v>314</v>
      </c>
      <c r="C48" s="384"/>
      <c r="D48" s="385"/>
      <c r="E48" s="384"/>
      <c r="F48" s="384"/>
      <c r="G48" s="384"/>
      <c r="H48" s="384"/>
    </row>
    <row r="49" spans="1:8" ht="37.5" customHeight="1" x14ac:dyDescent="0.2">
      <c r="A49" s="380">
        <v>14200</v>
      </c>
      <c r="B49" s="381" t="s">
        <v>194</v>
      </c>
      <c r="C49" s="384"/>
      <c r="D49" s="385"/>
      <c r="E49" s="384"/>
      <c r="F49" s="384"/>
      <c r="G49" s="384"/>
      <c r="H49" s="384"/>
    </row>
    <row r="50" spans="1:8" x14ac:dyDescent="0.2">
      <c r="A50" s="380">
        <v>14300</v>
      </c>
      <c r="B50" s="386" t="s">
        <v>196</v>
      </c>
      <c r="C50" s="384"/>
      <c r="D50" s="385"/>
      <c r="E50" s="384"/>
      <c r="F50" s="384"/>
      <c r="G50" s="384"/>
      <c r="H50" s="384"/>
    </row>
    <row r="51" spans="1:8" x14ac:dyDescent="0.2">
      <c r="A51" s="380">
        <v>14400</v>
      </c>
      <c r="B51" s="386" t="s">
        <v>319</v>
      </c>
      <c r="C51" s="384"/>
      <c r="D51" s="385"/>
      <c r="E51" s="384"/>
      <c r="F51" s="384"/>
      <c r="G51" s="384"/>
      <c r="H51" s="384"/>
    </row>
    <row r="52" spans="1:8" x14ac:dyDescent="0.2">
      <c r="A52" s="380">
        <v>14500</v>
      </c>
      <c r="B52" s="386" t="s">
        <v>320</v>
      </c>
      <c r="C52" s="384"/>
      <c r="D52" s="385"/>
      <c r="E52" s="384"/>
      <c r="F52" s="384"/>
      <c r="G52" s="384"/>
      <c r="H52" s="384"/>
    </row>
    <row r="53" spans="1:8" x14ac:dyDescent="0.2">
      <c r="A53" s="380">
        <v>15000</v>
      </c>
      <c r="B53" s="386" t="s">
        <v>321</v>
      </c>
      <c r="C53" s="383">
        <f t="shared" ref="C53" ca="1" si="19">C54+C55+C104</f>
        <v>898524</v>
      </c>
      <c r="D53" s="383">
        <f ca="1">D54+D55+D104</f>
        <v>1338102</v>
      </c>
      <c r="E53" s="383">
        <f>E54+E55+E104</f>
        <v>476214</v>
      </c>
      <c r="F53" s="383">
        <f t="shared" ref="F53:H53" si="20">F54+F55+F104</f>
        <v>881115</v>
      </c>
      <c r="G53" s="383">
        <f t="shared" si="20"/>
        <v>1210872</v>
      </c>
      <c r="H53" s="383">
        <f t="shared" si="20"/>
        <v>1293300</v>
      </c>
    </row>
    <row r="54" spans="1:8" ht="56.25" x14ac:dyDescent="0.2">
      <c r="A54" s="72">
        <v>15100</v>
      </c>
      <c r="B54" s="73" t="s">
        <v>313</v>
      </c>
      <c r="C54" s="354"/>
      <c r="D54" s="362"/>
      <c r="E54" s="90"/>
      <c r="F54" s="90"/>
      <c r="G54" s="90"/>
      <c r="H54" s="90"/>
    </row>
    <row r="55" spans="1:8" ht="40.5" x14ac:dyDescent="0.2">
      <c r="A55" s="72">
        <v>15200</v>
      </c>
      <c r="B55" s="73" t="s">
        <v>585</v>
      </c>
      <c r="C55" s="355">
        <f ca="1">C56+C72+C88</f>
        <v>898524</v>
      </c>
      <c r="D55" s="355">
        <f ca="1">D56+D72+D88</f>
        <v>1338102</v>
      </c>
      <c r="E55" s="355">
        <f>E56+E72+E88</f>
        <v>476214</v>
      </c>
      <c r="F55" s="355">
        <f t="shared" ref="F55:H55" si="21">F56+F72+F88</f>
        <v>881115</v>
      </c>
      <c r="G55" s="355">
        <f t="shared" si="21"/>
        <v>1210872</v>
      </c>
      <c r="H55" s="355">
        <f t="shared" si="21"/>
        <v>1293300</v>
      </c>
    </row>
    <row r="56" spans="1:8" s="68" customFormat="1" x14ac:dyDescent="0.2">
      <c r="A56" s="67">
        <v>15210</v>
      </c>
      <c r="B56" s="49" t="s">
        <v>317</v>
      </c>
      <c r="C56" s="356">
        <f t="shared" ref="C56:H56" ca="1" si="22">C57+C60+C63+C66+C69</f>
        <v>0</v>
      </c>
      <c r="D56" s="356">
        <f t="shared" ca="1" si="22"/>
        <v>47069</v>
      </c>
      <c r="E56" s="356">
        <f t="shared" si="22"/>
        <v>0</v>
      </c>
      <c r="F56" s="356">
        <f t="shared" si="22"/>
        <v>0</v>
      </c>
      <c r="G56" s="356">
        <f t="shared" si="22"/>
        <v>0</v>
      </c>
      <c r="H56" s="356">
        <f t="shared" si="22"/>
        <v>0</v>
      </c>
    </row>
    <row r="57" spans="1:8" ht="56.25" x14ac:dyDescent="0.2">
      <c r="A57" s="69">
        <v>15211</v>
      </c>
      <c r="B57" s="70" t="s">
        <v>575</v>
      </c>
      <c r="C57" s="177">
        <f ca="1">SUM(OFFSET(C60,-1,0):OFFSET(C57,1,0))</f>
        <v>0</v>
      </c>
      <c r="D57" s="363">
        <f ca="1">SUM(OFFSET(D60,-1,0):OFFSET(D57,1,0))</f>
        <v>0</v>
      </c>
      <c r="E57" s="71"/>
      <c r="F57" s="71"/>
      <c r="G57" s="71"/>
      <c r="H57" s="71"/>
    </row>
    <row r="58" spans="1:8" s="113" customFormat="1" x14ac:dyDescent="0.2">
      <c r="A58" s="93"/>
      <c r="B58" s="92"/>
      <c r="C58" s="91"/>
      <c r="D58" s="233"/>
      <c r="E58" s="91"/>
      <c r="F58" s="91"/>
      <c r="G58" s="91"/>
      <c r="H58" s="91"/>
    </row>
    <row r="59" spans="1:8" s="113" customFormat="1" x14ac:dyDescent="0.2">
      <c r="A59" s="93"/>
      <c r="B59" s="92"/>
      <c r="C59" s="91"/>
      <c r="D59" s="233"/>
      <c r="E59" s="91"/>
      <c r="F59" s="91"/>
      <c r="G59" s="91"/>
      <c r="H59" s="91"/>
    </row>
    <row r="60" spans="1:8" ht="56.25" x14ac:dyDescent="0.2">
      <c r="A60" s="69">
        <v>15212</v>
      </c>
      <c r="B60" s="70" t="s">
        <v>576</v>
      </c>
      <c r="C60" s="177">
        <f ca="1">SUM(OFFSET(C63,-1,0):OFFSET(C60,1,0))</f>
        <v>0</v>
      </c>
      <c r="D60" s="363">
        <f ca="1">SUM(OFFSET(D63,-1,0):OFFSET(D60,1,0))</f>
        <v>0</v>
      </c>
      <c r="E60" s="71"/>
      <c r="F60" s="71"/>
      <c r="G60" s="71"/>
      <c r="H60" s="71"/>
    </row>
    <row r="61" spans="1:8" s="113" customFormat="1" x14ac:dyDescent="0.2">
      <c r="A61" s="93"/>
      <c r="B61" s="92"/>
      <c r="C61" s="91"/>
      <c r="D61" s="233"/>
      <c r="E61" s="91"/>
      <c r="F61" s="91"/>
      <c r="G61" s="91"/>
      <c r="H61" s="91"/>
    </row>
    <row r="62" spans="1:8" s="113" customFormat="1" x14ac:dyDescent="0.2">
      <c r="A62" s="93"/>
      <c r="B62" s="92"/>
      <c r="C62" s="91"/>
      <c r="D62" s="233"/>
      <c r="E62" s="91"/>
      <c r="F62" s="91"/>
      <c r="G62" s="91"/>
      <c r="H62" s="91"/>
    </row>
    <row r="63" spans="1:8" ht="39.75" customHeight="1" x14ac:dyDescent="0.2">
      <c r="A63" s="69">
        <v>15213</v>
      </c>
      <c r="B63" s="70" t="s">
        <v>577</v>
      </c>
      <c r="C63" s="177">
        <f ca="1">SUM(OFFSET(C66,-1,0):OFFSET(C63,1,0))</f>
        <v>0</v>
      </c>
      <c r="D63" s="363">
        <f ca="1">SUM(OFFSET(D66,-1,0):OFFSET(D63,1,0))</f>
        <v>0</v>
      </c>
      <c r="E63" s="71"/>
      <c r="F63" s="71"/>
      <c r="G63" s="71"/>
      <c r="H63" s="71"/>
    </row>
    <row r="64" spans="1:8" s="113" customFormat="1" ht="39.75" customHeight="1" x14ac:dyDescent="0.2">
      <c r="A64" s="93"/>
      <c r="B64" s="92"/>
      <c r="C64" s="91"/>
      <c r="D64" s="91"/>
      <c r="E64" s="91"/>
      <c r="F64" s="91"/>
      <c r="G64" s="91"/>
      <c r="H64" s="91"/>
    </row>
    <row r="65" spans="1:8" s="113" customFormat="1" ht="39.75" customHeight="1" x14ac:dyDescent="0.2">
      <c r="A65" s="93"/>
      <c r="B65" s="92"/>
      <c r="C65" s="91"/>
      <c r="D65" s="233"/>
      <c r="E65" s="91"/>
      <c r="F65" s="91"/>
      <c r="G65" s="91"/>
      <c r="H65" s="91"/>
    </row>
    <row r="66" spans="1:8" ht="37.5" x14ac:dyDescent="0.2">
      <c r="A66" s="69">
        <v>15214</v>
      </c>
      <c r="B66" s="70" t="s">
        <v>578</v>
      </c>
      <c r="C66" s="177">
        <f ca="1">SUM(OFFSET(C69,-1,0):OFFSET(C66,1,0))</f>
        <v>0</v>
      </c>
      <c r="D66" s="363">
        <f ca="1">SUM(OFFSET(D69,-1,0):OFFSET(D66,1,0))</f>
        <v>0</v>
      </c>
      <c r="E66" s="71"/>
      <c r="F66" s="71"/>
      <c r="G66" s="71"/>
      <c r="H66" s="71"/>
    </row>
    <row r="67" spans="1:8" s="113" customFormat="1" x14ac:dyDescent="0.2">
      <c r="A67" s="93"/>
      <c r="B67" s="92"/>
      <c r="C67" s="91"/>
      <c r="D67" s="233"/>
      <c r="E67" s="91"/>
      <c r="F67" s="91"/>
      <c r="G67" s="91"/>
      <c r="H67" s="91"/>
    </row>
    <row r="68" spans="1:8" s="113" customFormat="1" x14ac:dyDescent="0.2">
      <c r="A68" s="93"/>
      <c r="B68" s="92"/>
      <c r="C68" s="91"/>
      <c r="D68" s="233"/>
      <c r="E68" s="91"/>
      <c r="F68" s="91"/>
      <c r="G68" s="91"/>
      <c r="H68" s="91"/>
    </row>
    <row r="69" spans="1:8" ht="37.5" x14ac:dyDescent="0.2">
      <c r="A69" s="69">
        <v>15215</v>
      </c>
      <c r="B69" s="70" t="s">
        <v>579</v>
      </c>
      <c r="C69" s="177">
        <f ca="1">SUM(OFFSET(C72,-1,0):OFFSET(C69,1,0))</f>
        <v>0</v>
      </c>
      <c r="D69" s="405">
        <v>47069</v>
      </c>
      <c r="E69" s="71"/>
      <c r="F69" s="71"/>
      <c r="G69" s="71"/>
      <c r="H69" s="71"/>
    </row>
    <row r="70" spans="1:8" s="113" customFormat="1" x14ac:dyDescent="0.2">
      <c r="A70" s="93"/>
      <c r="B70" s="92"/>
      <c r="C70" s="91"/>
      <c r="D70" s="233"/>
      <c r="E70" s="91"/>
      <c r="F70" s="91"/>
      <c r="G70" s="91"/>
      <c r="H70" s="91"/>
    </row>
    <row r="71" spans="1:8" s="113" customFormat="1" x14ac:dyDescent="0.2">
      <c r="A71" s="93"/>
      <c r="B71" s="92"/>
      <c r="C71" s="91">
        <v>0</v>
      </c>
      <c r="D71" s="233"/>
      <c r="E71" s="91"/>
      <c r="F71" s="91"/>
      <c r="G71" s="91"/>
      <c r="H71" s="91"/>
    </row>
    <row r="72" spans="1:8" x14ac:dyDescent="0.2">
      <c r="A72" s="67">
        <v>15220</v>
      </c>
      <c r="B72" s="49" t="s">
        <v>315</v>
      </c>
      <c r="C72" s="356">
        <f t="shared" ref="C72:H72" ca="1" si="23">C73+C76+C79+C82+C85</f>
        <v>898524</v>
      </c>
      <c r="D72" s="356">
        <f t="shared" ca="1" si="23"/>
        <v>776172</v>
      </c>
      <c r="E72" s="356">
        <f>E73+E76+E79+E82+E85</f>
        <v>376214</v>
      </c>
      <c r="F72" s="356">
        <f t="shared" si="23"/>
        <v>681115</v>
      </c>
      <c r="G72" s="356">
        <f t="shared" si="23"/>
        <v>1010872</v>
      </c>
      <c r="H72" s="356">
        <f t="shared" si="23"/>
        <v>1093300</v>
      </c>
    </row>
    <row r="73" spans="1:8" ht="56.25" x14ac:dyDescent="0.2">
      <c r="A73" s="69">
        <v>15221</v>
      </c>
      <c r="B73" s="70" t="s">
        <v>580</v>
      </c>
      <c r="C73" s="177">
        <f ca="1">SUM(OFFSET(C76,-1,0):OFFSET(C73,1,0))</f>
        <v>0</v>
      </c>
      <c r="D73" s="363">
        <f ca="1">SUM(OFFSET(D76,-1,0):OFFSET(D73,1,0))</f>
        <v>0</v>
      </c>
      <c r="E73" s="71"/>
      <c r="F73" s="71"/>
      <c r="G73" s="71"/>
      <c r="H73" s="71"/>
    </row>
    <row r="74" spans="1:8" s="113" customFormat="1" x14ac:dyDescent="0.2">
      <c r="A74" s="93"/>
      <c r="B74" s="92"/>
      <c r="C74" s="91"/>
      <c r="D74" s="233"/>
      <c r="E74" s="91"/>
      <c r="F74" s="91"/>
      <c r="G74" s="91"/>
      <c r="H74" s="91"/>
    </row>
    <row r="75" spans="1:8" s="113" customFormat="1" x14ac:dyDescent="0.2">
      <c r="A75" s="93"/>
      <c r="B75" s="92"/>
      <c r="C75" s="91"/>
      <c r="D75" s="233"/>
      <c r="E75" s="91"/>
      <c r="F75" s="91"/>
      <c r="G75" s="91"/>
      <c r="H75" s="91"/>
    </row>
    <row r="76" spans="1:8" ht="56.25" x14ac:dyDescent="0.2">
      <c r="A76" s="69">
        <v>15222</v>
      </c>
      <c r="B76" s="70" t="s">
        <v>576</v>
      </c>
      <c r="C76" s="177">
        <f ca="1">SUM(OFFSET(C79,-1,0):OFFSET(C76,1,0))</f>
        <v>0</v>
      </c>
      <c r="D76" s="363">
        <f ca="1">SUM(OFFSET(D79,-1,0):OFFSET(D76,1,0))</f>
        <v>0</v>
      </c>
      <c r="E76" s="71"/>
      <c r="F76" s="71"/>
      <c r="G76" s="71"/>
      <c r="H76" s="71"/>
    </row>
    <row r="77" spans="1:8" s="113" customFormat="1" x14ac:dyDescent="0.2">
      <c r="A77" s="93"/>
      <c r="B77" s="92"/>
      <c r="C77" s="91"/>
      <c r="D77" s="233"/>
      <c r="E77" s="91"/>
      <c r="F77" s="91"/>
      <c r="G77" s="91"/>
      <c r="H77" s="91"/>
    </row>
    <row r="78" spans="1:8" s="113" customFormat="1" x14ac:dyDescent="0.2">
      <c r="A78" s="93"/>
      <c r="B78" s="92"/>
      <c r="C78" s="91"/>
      <c r="D78" s="233"/>
      <c r="E78" s="91"/>
      <c r="F78" s="91"/>
      <c r="G78" s="91"/>
      <c r="H78" s="91"/>
    </row>
    <row r="79" spans="1:8" ht="39" customHeight="1" x14ac:dyDescent="0.2">
      <c r="A79" s="69">
        <v>15223</v>
      </c>
      <c r="B79" s="70" t="s">
        <v>577</v>
      </c>
      <c r="C79" s="177">
        <f ca="1">SUM(OFFSET(C82,-1,0):OFFSET(C79,1,0))</f>
        <v>0</v>
      </c>
      <c r="D79" s="363">
        <f ca="1">SUM(OFFSET(D82,-1,0):OFFSET(D79,1,0))</f>
        <v>0</v>
      </c>
      <c r="E79" s="71"/>
      <c r="F79" s="71"/>
      <c r="G79" s="71"/>
      <c r="H79" s="71"/>
    </row>
    <row r="80" spans="1:8" s="113" customFormat="1" ht="39" customHeight="1" x14ac:dyDescent="0.2">
      <c r="A80" s="93"/>
      <c r="B80" s="92"/>
      <c r="C80" s="91"/>
      <c r="D80" s="233"/>
      <c r="E80" s="91"/>
      <c r="F80" s="91"/>
      <c r="G80" s="91"/>
      <c r="H80" s="91"/>
    </row>
    <row r="81" spans="1:8" s="113" customFormat="1" ht="39" customHeight="1" x14ac:dyDescent="0.2">
      <c r="A81" s="93"/>
      <c r="B81" s="92"/>
      <c r="C81" s="91"/>
      <c r="D81" s="233"/>
      <c r="E81" s="91"/>
      <c r="F81" s="91"/>
      <c r="G81" s="91"/>
      <c r="H81" s="91"/>
    </row>
    <row r="82" spans="1:8" ht="37.5" x14ac:dyDescent="0.2">
      <c r="A82" s="69">
        <v>15224</v>
      </c>
      <c r="B82" s="70" t="s">
        <v>578</v>
      </c>
      <c r="C82" s="177">
        <f ca="1">SUM(OFFSET(C85,-1,0):OFFSET(C82,1,0))</f>
        <v>0</v>
      </c>
      <c r="D82" s="363">
        <f ca="1">SUM(OFFSET(D85,-1,0):OFFSET(D82,1,0))</f>
        <v>0</v>
      </c>
      <c r="E82" s="71"/>
      <c r="F82" s="71"/>
      <c r="G82" s="71"/>
      <c r="H82" s="71"/>
    </row>
    <row r="83" spans="1:8" s="113" customFormat="1" x14ac:dyDescent="0.2">
      <c r="A83" s="93"/>
      <c r="B83" s="92"/>
      <c r="C83" s="91"/>
      <c r="D83" s="233"/>
      <c r="E83" s="91"/>
      <c r="F83" s="91"/>
      <c r="G83" s="91"/>
      <c r="H83" s="91"/>
    </row>
    <row r="84" spans="1:8" s="113" customFormat="1" x14ac:dyDescent="0.2">
      <c r="A84" s="93"/>
      <c r="B84" s="92"/>
      <c r="C84" s="91"/>
      <c r="D84" s="233"/>
      <c r="E84" s="91"/>
      <c r="F84" s="91"/>
      <c r="G84" s="91"/>
      <c r="H84" s="91"/>
    </row>
    <row r="85" spans="1:8" ht="37.5" x14ac:dyDescent="0.2">
      <c r="A85" s="69">
        <v>15225</v>
      </c>
      <c r="B85" s="70" t="s">
        <v>579</v>
      </c>
      <c r="C85" s="177">
        <f ca="1">SUM(OFFSET(C88,-1,0):OFFSET(C85,1,0))</f>
        <v>898524</v>
      </c>
      <c r="D85" s="177">
        <f ca="1">SUM(OFFSET(D88,-1,0):OFFSET(D85,1,0))</f>
        <v>776172</v>
      </c>
      <c r="E85" s="71">
        <f>E86+E87</f>
        <v>376214</v>
      </c>
      <c r="F85" s="71">
        <f t="shared" ref="F85:H85" si="24">F86+F87</f>
        <v>681115</v>
      </c>
      <c r="G85" s="71">
        <f t="shared" si="24"/>
        <v>1010872</v>
      </c>
      <c r="H85" s="71">
        <f t="shared" si="24"/>
        <v>1093300</v>
      </c>
    </row>
    <row r="86" spans="1:8" s="113" customFormat="1" x14ac:dyDescent="0.2">
      <c r="A86" s="93"/>
      <c r="B86" s="92"/>
      <c r="C86" s="91"/>
      <c r="D86" s="233"/>
      <c r="E86" s="91"/>
      <c r="F86" s="91"/>
      <c r="G86" s="91"/>
      <c r="H86" s="91"/>
    </row>
    <row r="87" spans="1:8" s="113" customFormat="1" x14ac:dyDescent="0.2">
      <c r="A87" s="93"/>
      <c r="B87" s="92"/>
      <c r="C87" s="91">
        <v>898524</v>
      </c>
      <c r="D87" s="233">
        <v>776172</v>
      </c>
      <c r="E87" s="91">
        <v>376214</v>
      </c>
      <c r="F87" s="91">
        <v>681115</v>
      </c>
      <c r="G87" s="91">
        <v>1010872</v>
      </c>
      <c r="H87" s="91">
        <v>1093300</v>
      </c>
    </row>
    <row r="88" spans="1:8" x14ac:dyDescent="0.2">
      <c r="A88" s="67">
        <v>15230</v>
      </c>
      <c r="B88" s="49" t="s">
        <v>316</v>
      </c>
      <c r="C88" s="356">
        <f t="shared" ref="C88" ca="1" si="25">C89+C92+C95+C98+C101</f>
        <v>0</v>
      </c>
      <c r="D88" s="356">
        <f ca="1">D89+D92+D95+D98+D101</f>
        <v>514861</v>
      </c>
      <c r="E88" s="356">
        <f t="shared" ref="E88:H88" si="26">E89+E92+E95+E98+E101</f>
        <v>100000</v>
      </c>
      <c r="F88" s="356">
        <f t="shared" si="26"/>
        <v>200000</v>
      </c>
      <c r="G88" s="356">
        <f t="shared" si="26"/>
        <v>200000</v>
      </c>
      <c r="H88" s="356">
        <f t="shared" si="26"/>
        <v>200000</v>
      </c>
    </row>
    <row r="89" spans="1:8" ht="56.25" x14ac:dyDescent="0.2">
      <c r="A89" s="69">
        <v>15231</v>
      </c>
      <c r="B89" s="70" t="s">
        <v>580</v>
      </c>
      <c r="C89" s="177">
        <f ca="1">SUM(OFFSET(C92,-1,0):OFFSET(C89,1,0))</f>
        <v>0</v>
      </c>
      <c r="D89" s="363">
        <f ca="1">SUM(OFFSET(D92,-1,0):OFFSET(D89,1,0))</f>
        <v>0</v>
      </c>
      <c r="E89" s="71"/>
      <c r="F89" s="71"/>
      <c r="G89" s="71"/>
      <c r="H89" s="71"/>
    </row>
    <row r="90" spans="1:8" s="113" customFormat="1" x14ac:dyDescent="0.2">
      <c r="A90" s="93"/>
      <c r="B90" s="92"/>
      <c r="C90" s="91"/>
      <c r="D90" s="233"/>
      <c r="E90" s="91"/>
      <c r="F90" s="91"/>
      <c r="G90" s="91"/>
      <c r="H90" s="91"/>
    </row>
    <row r="91" spans="1:8" s="113" customFormat="1" x14ac:dyDescent="0.2">
      <c r="A91" s="93"/>
      <c r="B91" s="92"/>
      <c r="C91" s="91"/>
      <c r="D91" s="233"/>
      <c r="E91" s="91"/>
      <c r="F91" s="91"/>
      <c r="G91" s="91"/>
      <c r="H91" s="91"/>
    </row>
    <row r="92" spans="1:8" ht="56.25" x14ac:dyDescent="0.2">
      <c r="A92" s="69">
        <v>15232</v>
      </c>
      <c r="B92" s="70" t="s">
        <v>576</v>
      </c>
      <c r="C92" s="177">
        <f ca="1">SUM(OFFSET(C95,-1,0):OFFSET(C92,1,0))</f>
        <v>0</v>
      </c>
      <c r="D92" s="363">
        <f ca="1">SUM(OFFSET(D95,-1,0):OFFSET(D92,1,0))</f>
        <v>0</v>
      </c>
      <c r="E92" s="71"/>
      <c r="F92" s="71"/>
      <c r="G92" s="71"/>
      <c r="H92" s="71"/>
    </row>
    <row r="93" spans="1:8" s="113" customFormat="1" x14ac:dyDescent="0.2">
      <c r="A93" s="93"/>
      <c r="B93" s="92"/>
      <c r="C93" s="91"/>
      <c r="D93" s="233"/>
      <c r="E93" s="91"/>
      <c r="F93" s="91"/>
      <c r="G93" s="91"/>
      <c r="H93" s="91"/>
    </row>
    <row r="94" spans="1:8" s="113" customFormat="1" x14ac:dyDescent="0.2">
      <c r="A94" s="93"/>
      <c r="B94" s="92"/>
      <c r="C94" s="91"/>
      <c r="D94" s="233"/>
      <c r="E94" s="91"/>
      <c r="F94" s="91"/>
      <c r="G94" s="91"/>
      <c r="H94" s="91"/>
    </row>
    <row r="95" spans="1:8" ht="38.25" customHeight="1" x14ac:dyDescent="0.2">
      <c r="A95" s="69">
        <v>15233</v>
      </c>
      <c r="B95" s="70" t="s">
        <v>577</v>
      </c>
      <c r="C95" s="177">
        <f ca="1">SUM(OFFSET(C98,-1,0):OFFSET(C95,1,0))</f>
        <v>0</v>
      </c>
      <c r="D95" s="363">
        <f ca="1">SUM(OFFSET(D98,-1,0):OFFSET(D95,1,0))</f>
        <v>0</v>
      </c>
      <c r="E95" s="71"/>
      <c r="F95" s="71"/>
      <c r="G95" s="71"/>
      <c r="H95" s="71"/>
    </row>
    <row r="96" spans="1:8" s="113" customFormat="1" ht="38.25" customHeight="1" x14ac:dyDescent="0.2">
      <c r="A96" s="93"/>
      <c r="B96" s="92"/>
      <c r="C96" s="91"/>
      <c r="D96" s="233"/>
      <c r="E96" s="91"/>
      <c r="F96" s="91"/>
      <c r="G96" s="91"/>
      <c r="H96" s="91"/>
    </row>
    <row r="97" spans="1:8" s="113" customFormat="1" ht="38.25" customHeight="1" x14ac:dyDescent="0.2">
      <c r="A97" s="93"/>
      <c r="B97" s="92"/>
      <c r="C97" s="91"/>
      <c r="D97" s="233"/>
      <c r="E97" s="91"/>
      <c r="F97" s="91"/>
      <c r="G97" s="91"/>
      <c r="H97" s="91"/>
    </row>
    <row r="98" spans="1:8" ht="37.5" x14ac:dyDescent="0.2">
      <c r="A98" s="69">
        <v>15234</v>
      </c>
      <c r="B98" s="70" t="s">
        <v>578</v>
      </c>
      <c r="C98" s="177">
        <f ca="1">SUM(OFFSET(C101,-1,0):OFFSET(C98,1,0))</f>
        <v>0</v>
      </c>
      <c r="D98" s="363">
        <f ca="1">SUM(OFFSET(D101,-1,0):OFFSET(D98,1,0))</f>
        <v>0</v>
      </c>
      <c r="E98" s="71"/>
      <c r="F98" s="71"/>
      <c r="G98" s="71"/>
      <c r="H98" s="71"/>
    </row>
    <row r="99" spans="1:8" s="113" customFormat="1" x14ac:dyDescent="0.2">
      <c r="A99" s="93"/>
      <c r="B99" s="92"/>
      <c r="C99" s="91"/>
      <c r="D99" s="233"/>
      <c r="E99" s="91"/>
      <c r="F99" s="91"/>
      <c r="G99" s="91"/>
      <c r="H99" s="91"/>
    </row>
    <row r="100" spans="1:8" s="113" customFormat="1" x14ac:dyDescent="0.2">
      <c r="A100" s="93"/>
      <c r="B100" s="92"/>
      <c r="C100" s="91"/>
      <c r="D100" s="233"/>
      <c r="E100" s="91"/>
      <c r="F100" s="91"/>
      <c r="G100" s="91"/>
      <c r="H100" s="91"/>
    </row>
    <row r="101" spans="1:8" ht="37.5" x14ac:dyDescent="0.2">
      <c r="A101" s="69">
        <v>15234</v>
      </c>
      <c r="B101" s="70" t="s">
        <v>579</v>
      </c>
      <c r="C101" s="177">
        <f ca="1">SUM(OFFSET(C104,-1,0):OFFSET(C101,1,0))</f>
        <v>0</v>
      </c>
      <c r="D101" s="405">
        <v>514861</v>
      </c>
      <c r="E101" s="71">
        <f>E102</f>
        <v>100000</v>
      </c>
      <c r="F101" s="71">
        <f t="shared" ref="F101:H101" si="27">F102</f>
        <v>200000</v>
      </c>
      <c r="G101" s="71">
        <f t="shared" si="27"/>
        <v>200000</v>
      </c>
      <c r="H101" s="71">
        <f t="shared" si="27"/>
        <v>200000</v>
      </c>
    </row>
    <row r="102" spans="1:8" s="113" customFormat="1" x14ac:dyDescent="0.2">
      <c r="A102" s="93"/>
      <c r="B102" s="92"/>
      <c r="C102" s="91"/>
      <c r="D102" s="233"/>
      <c r="E102" s="91">
        <v>100000</v>
      </c>
      <c r="F102" s="91">
        <v>200000</v>
      </c>
      <c r="G102" s="91">
        <v>200000</v>
      </c>
      <c r="H102" s="91">
        <v>200000</v>
      </c>
    </row>
    <row r="103" spans="1:8" s="113" customFormat="1" x14ac:dyDescent="0.2">
      <c r="A103" s="93"/>
      <c r="B103" s="92"/>
      <c r="C103" s="91"/>
      <c r="D103" s="233"/>
      <c r="E103" s="91"/>
      <c r="F103" s="91"/>
      <c r="G103" s="91"/>
      <c r="H103" s="91"/>
    </row>
    <row r="104" spans="1:8" x14ac:dyDescent="0.2">
      <c r="A104" s="72">
        <v>15300</v>
      </c>
      <c r="B104" s="73" t="s">
        <v>195</v>
      </c>
      <c r="C104" s="354">
        <v>0</v>
      </c>
      <c r="D104" s="362">
        <v>0</v>
      </c>
      <c r="E104" s="90"/>
      <c r="F104" s="90"/>
      <c r="G104" s="90"/>
      <c r="H104" s="90"/>
    </row>
    <row r="105" spans="1:8" ht="37.5" x14ac:dyDescent="0.2">
      <c r="A105" s="377">
        <v>16000</v>
      </c>
      <c r="B105" s="378" t="s">
        <v>327</v>
      </c>
      <c r="C105" s="379">
        <f ca="1">C47-C53</f>
        <v>-898524</v>
      </c>
      <c r="D105" s="379">
        <f ca="1">D47-D53</f>
        <v>-1338102</v>
      </c>
      <c r="E105" s="379">
        <f t="shared" ref="E105:H105" si="28">E47-E53</f>
        <v>-476214</v>
      </c>
      <c r="F105" s="379">
        <f t="shared" si="28"/>
        <v>-881115</v>
      </c>
      <c r="G105" s="379">
        <f t="shared" si="28"/>
        <v>-1210872</v>
      </c>
      <c r="H105" s="379">
        <f t="shared" si="28"/>
        <v>-1293300</v>
      </c>
    </row>
    <row r="106" spans="1:8" x14ac:dyDescent="0.2">
      <c r="A106" s="86" t="s">
        <v>312</v>
      </c>
      <c r="B106" s="446" t="s">
        <v>198</v>
      </c>
      <c r="C106" s="446"/>
      <c r="D106" s="446"/>
      <c r="E106" s="446"/>
      <c r="F106" s="446"/>
      <c r="G106" s="446"/>
      <c r="H106" s="446"/>
    </row>
    <row r="107" spans="1:8" x14ac:dyDescent="0.2">
      <c r="A107" s="373">
        <v>17000</v>
      </c>
      <c r="B107" s="374" t="s">
        <v>323</v>
      </c>
      <c r="C107" s="375">
        <f ca="1">C108+C109+C110</f>
        <v>221891</v>
      </c>
      <c r="D107" s="375">
        <f ca="1">D108+D109+D110</f>
        <v>170855.4</v>
      </c>
      <c r="E107" s="375">
        <f t="shared" ref="E107:H107" ca="1" si="29">E108+E109+E110</f>
        <v>168151.62</v>
      </c>
      <c r="F107" s="375">
        <f t="shared" ca="1" si="29"/>
        <v>168151.62</v>
      </c>
      <c r="G107" s="375">
        <f t="shared" ca="1" si="29"/>
        <v>168151.62</v>
      </c>
      <c r="H107" s="375">
        <f t="shared" ca="1" si="29"/>
        <v>168151.62</v>
      </c>
    </row>
    <row r="108" spans="1:8" ht="56.25" x14ac:dyDescent="0.2">
      <c r="A108" s="364">
        <v>17100</v>
      </c>
      <c r="B108" s="376" t="s">
        <v>200</v>
      </c>
      <c r="C108" s="368"/>
      <c r="D108" s="369">
        <v>97479</v>
      </c>
      <c r="E108" s="368"/>
      <c r="F108" s="368"/>
      <c r="G108" s="368"/>
      <c r="H108" s="368"/>
    </row>
    <row r="109" spans="1:8" x14ac:dyDescent="0.2">
      <c r="A109" s="364">
        <v>17200</v>
      </c>
      <c r="B109" s="376" t="s">
        <v>322</v>
      </c>
      <c r="C109" s="368"/>
      <c r="D109" s="369"/>
      <c r="E109" s="368"/>
      <c r="F109" s="368"/>
      <c r="G109" s="368"/>
      <c r="H109" s="368"/>
    </row>
    <row r="110" spans="1:8" ht="37.5" x14ac:dyDescent="0.2">
      <c r="A110" s="364">
        <v>17300</v>
      </c>
      <c r="B110" s="370" t="s">
        <v>199</v>
      </c>
      <c r="C110" s="366">
        <f ca="1">C111+C114+C117+C120+C123</f>
        <v>221891</v>
      </c>
      <c r="D110" s="366">
        <f ca="1">D111+D114+D117+D120+D123</f>
        <v>73376.399999999994</v>
      </c>
      <c r="E110" s="366">
        <f t="shared" ref="E110:H110" ca="1" si="30">E111+E114+E117+E120+E123</f>
        <v>168151.62</v>
      </c>
      <c r="F110" s="366">
        <f t="shared" ca="1" si="30"/>
        <v>168151.62</v>
      </c>
      <c r="G110" s="366">
        <f t="shared" ca="1" si="30"/>
        <v>168151.62</v>
      </c>
      <c r="H110" s="366">
        <f t="shared" ca="1" si="30"/>
        <v>168151.62</v>
      </c>
    </row>
    <row r="111" spans="1:8" ht="56.25" x14ac:dyDescent="0.2">
      <c r="A111" s="75">
        <v>17310</v>
      </c>
      <c r="B111" s="76" t="s">
        <v>581</v>
      </c>
      <c r="C111" s="357">
        <f ca="1">SUM(OFFSET(C114,-1,0):OFFSET(C111,1,0))</f>
        <v>0</v>
      </c>
      <c r="D111" s="358">
        <f ca="1">SUM(OFFSET(D114,-1,0):OFFSET(D111,1,0))</f>
        <v>0</v>
      </c>
      <c r="E111" s="77"/>
      <c r="F111" s="77"/>
      <c r="G111" s="77"/>
      <c r="H111" s="77"/>
    </row>
    <row r="112" spans="1:8" s="113" customFormat="1" x14ac:dyDescent="0.2">
      <c r="A112" s="94"/>
      <c r="B112" s="95"/>
      <c r="C112" s="352"/>
      <c r="D112" s="352"/>
      <c r="E112" s="39"/>
      <c r="F112" s="39"/>
      <c r="G112" s="39"/>
      <c r="H112" s="39"/>
    </row>
    <row r="113" spans="1:8" s="113" customFormat="1" x14ac:dyDescent="0.2">
      <c r="A113" s="94"/>
      <c r="B113" s="95"/>
      <c r="C113" s="352"/>
      <c r="D113" s="234"/>
      <c r="E113" s="39"/>
      <c r="F113" s="39"/>
      <c r="G113" s="39"/>
      <c r="H113" s="39"/>
    </row>
    <row r="114" spans="1:8" ht="56.25" x14ac:dyDescent="0.2">
      <c r="A114" s="75">
        <v>17320</v>
      </c>
      <c r="B114" s="78" t="s">
        <v>471</v>
      </c>
      <c r="C114" s="358">
        <f ca="1">SUM(OFFSET(C117,-1,0):OFFSET(C114,1,0))</f>
        <v>221891</v>
      </c>
      <c r="D114" s="404">
        <f ca="1">SUM(OFFSET(D117,-1,0):OFFSET(D114,1,0))</f>
        <v>73376.399999999994</v>
      </c>
      <c r="E114" s="404">
        <f ca="1">SUM(OFFSET(E117,-1,0):OFFSET(E114,1,0))</f>
        <v>168151.62</v>
      </c>
      <c r="F114" s="404">
        <f ca="1">SUM(OFFSET(F117,-1,0):OFFSET(F114,1,0))</f>
        <v>168151.62</v>
      </c>
      <c r="G114" s="404">
        <f ca="1">SUM(OFFSET(G117,-1,0):OFFSET(G114,1,0))</f>
        <v>168151.62</v>
      </c>
      <c r="H114" s="404">
        <f ca="1">SUM(OFFSET(H117,-1,0):OFFSET(H114,1,0))</f>
        <v>168151.62</v>
      </c>
    </row>
    <row r="115" spans="1:8" s="113" customFormat="1" x14ac:dyDescent="0.2">
      <c r="A115" s="94"/>
      <c r="B115" s="96"/>
      <c r="C115" s="352"/>
      <c r="D115" s="42"/>
      <c r="E115" s="39"/>
      <c r="F115" s="39"/>
      <c r="G115" s="39"/>
      <c r="H115" s="39"/>
    </row>
    <row r="116" spans="1:8" s="113" customFormat="1" x14ac:dyDescent="0.2">
      <c r="A116" s="94"/>
      <c r="B116" s="96"/>
      <c r="C116" s="352">
        <v>221891</v>
      </c>
      <c r="D116" s="42">
        <v>73376.399999999994</v>
      </c>
      <c r="E116" s="39">
        <v>168151.62</v>
      </c>
      <c r="F116" s="39">
        <v>168151.62</v>
      </c>
      <c r="G116" s="39">
        <v>168151.62</v>
      </c>
      <c r="H116" s="39">
        <v>168151.62</v>
      </c>
    </row>
    <row r="117" spans="1:8" ht="56.25" x14ac:dyDescent="0.2">
      <c r="A117" s="59">
        <v>17330</v>
      </c>
      <c r="B117" s="79" t="s">
        <v>582</v>
      </c>
      <c r="C117" s="357">
        <f ca="1">SUM(OFFSET(C120,-1,0):OFFSET(C117,1,0))</f>
        <v>0</v>
      </c>
      <c r="D117" s="358">
        <f ca="1">SUM(OFFSET(D120,-1,0):OFFSET(D117,1,0))</f>
        <v>0</v>
      </c>
      <c r="E117" s="77"/>
      <c r="F117" s="77"/>
      <c r="G117" s="77"/>
      <c r="H117" s="77"/>
    </row>
    <row r="118" spans="1:8" s="113" customFormat="1" x14ac:dyDescent="0.2">
      <c r="A118" s="97"/>
      <c r="B118" s="98"/>
      <c r="C118" s="352"/>
      <c r="D118" s="234"/>
      <c r="E118" s="39"/>
      <c r="F118" s="39"/>
      <c r="G118" s="39"/>
      <c r="H118" s="39"/>
    </row>
    <row r="119" spans="1:8" s="113" customFormat="1" x14ac:dyDescent="0.2">
      <c r="A119" s="97"/>
      <c r="B119" s="98"/>
      <c r="C119" s="352"/>
      <c r="D119" s="234"/>
      <c r="E119" s="39"/>
      <c r="F119" s="39"/>
      <c r="G119" s="39"/>
      <c r="H119" s="39"/>
    </row>
    <row r="120" spans="1:8" ht="56.25" x14ac:dyDescent="0.2">
      <c r="A120" s="59">
        <v>17340</v>
      </c>
      <c r="B120" s="79" t="s">
        <v>583</v>
      </c>
      <c r="C120" s="357">
        <f ca="1">SUM(OFFSET(C123,-1,0):OFFSET(C120,1,0))</f>
        <v>0</v>
      </c>
      <c r="D120" s="358">
        <f ca="1">SUM(OFFSET(D123,-1,0):OFFSET(D120,1,0))</f>
        <v>0</v>
      </c>
      <c r="E120" s="77"/>
      <c r="F120" s="77"/>
      <c r="G120" s="77"/>
      <c r="H120" s="77"/>
    </row>
    <row r="121" spans="1:8" s="113" customFormat="1" x14ac:dyDescent="0.2">
      <c r="A121" s="97"/>
      <c r="B121" s="98"/>
      <c r="C121" s="352"/>
      <c r="D121" s="352"/>
      <c r="E121" s="39"/>
      <c r="F121" s="39"/>
      <c r="G121" s="39"/>
      <c r="H121" s="39"/>
    </row>
    <row r="122" spans="1:8" s="113" customFormat="1" x14ac:dyDescent="0.2">
      <c r="A122" s="97"/>
      <c r="B122" s="98"/>
      <c r="C122" s="352"/>
      <c r="D122" s="234"/>
      <c r="E122" s="39"/>
      <c r="F122" s="39"/>
      <c r="G122" s="39"/>
      <c r="H122" s="39"/>
    </row>
    <row r="123" spans="1:8" ht="37.5" x14ac:dyDescent="0.2">
      <c r="A123" s="75">
        <v>17350</v>
      </c>
      <c r="B123" s="80" t="s">
        <v>584</v>
      </c>
      <c r="C123" s="357">
        <f ca="1">SUM(OFFSET(C126,-1,0):OFFSET(C123,1,0))</f>
        <v>0</v>
      </c>
      <c r="D123" s="358">
        <f ca="1">SUM(OFFSET(D126,-1,0):OFFSET(D123,1,0))</f>
        <v>0</v>
      </c>
      <c r="E123" s="77"/>
      <c r="F123" s="77"/>
      <c r="G123" s="77"/>
      <c r="H123" s="77"/>
    </row>
    <row r="124" spans="1:8" s="113" customFormat="1" x14ac:dyDescent="0.2">
      <c r="A124" s="94"/>
      <c r="B124" s="99"/>
      <c r="C124" s="352"/>
      <c r="D124" s="234"/>
      <c r="E124" s="39"/>
      <c r="F124" s="39"/>
      <c r="G124" s="39"/>
      <c r="H124" s="39"/>
    </row>
    <row r="125" spans="1:8" s="113" customFormat="1" x14ac:dyDescent="0.2">
      <c r="A125" s="94"/>
      <c r="B125" s="99"/>
      <c r="C125" s="352"/>
      <c r="D125" s="234"/>
      <c r="E125" s="39"/>
      <c r="F125" s="39"/>
      <c r="G125" s="39"/>
      <c r="H125" s="39"/>
    </row>
    <row r="126" spans="1:8" x14ac:dyDescent="0.2">
      <c r="A126" s="81">
        <v>18000</v>
      </c>
      <c r="B126" s="66" t="s">
        <v>324</v>
      </c>
      <c r="C126" s="350">
        <f t="shared" ref="C126" si="31">C127+C128+C129</f>
        <v>0</v>
      </c>
      <c r="D126" s="256">
        <f>D127+D128+D129</f>
        <v>0</v>
      </c>
      <c r="E126" s="256">
        <f t="shared" ref="E126:H126" si="32">E127+E128+E129</f>
        <v>0</v>
      </c>
      <c r="F126" s="256">
        <f t="shared" si="32"/>
        <v>0</v>
      </c>
      <c r="G126" s="256">
        <f t="shared" si="32"/>
        <v>0</v>
      </c>
      <c r="H126" s="256">
        <f t="shared" si="32"/>
        <v>0</v>
      </c>
    </row>
    <row r="127" spans="1:8" x14ac:dyDescent="0.2">
      <c r="A127" s="82">
        <v>18100</v>
      </c>
      <c r="B127" s="83" t="s">
        <v>325</v>
      </c>
      <c r="C127" s="353"/>
      <c r="D127" s="360"/>
      <c r="E127" s="38"/>
      <c r="F127" s="38"/>
      <c r="G127" s="38"/>
      <c r="H127" s="38"/>
    </row>
    <row r="128" spans="1:8" ht="37.5" x14ac:dyDescent="0.2">
      <c r="A128" s="82">
        <v>18200</v>
      </c>
      <c r="B128" s="83" t="s">
        <v>201</v>
      </c>
      <c r="C128" s="353"/>
      <c r="D128" s="360"/>
      <c r="E128" s="38"/>
      <c r="F128" s="38"/>
      <c r="G128" s="38"/>
      <c r="H128" s="38"/>
    </row>
    <row r="129" spans="1:11" x14ac:dyDescent="0.2">
      <c r="A129" s="82">
        <v>18300</v>
      </c>
      <c r="B129" s="83" t="s">
        <v>202</v>
      </c>
      <c r="C129" s="353"/>
      <c r="D129" s="360"/>
      <c r="E129" s="38"/>
      <c r="F129" s="38"/>
      <c r="G129" s="38"/>
      <c r="H129" s="38"/>
    </row>
    <row r="130" spans="1:11" ht="37.5" x14ac:dyDescent="0.2">
      <c r="A130" s="364">
        <v>19000</v>
      </c>
      <c r="B130" s="365" t="s">
        <v>326</v>
      </c>
      <c r="C130" s="366">
        <f ca="1">C107-C126</f>
        <v>221891</v>
      </c>
      <c r="D130" s="366">
        <f ca="1">D107-D126</f>
        <v>170855.4</v>
      </c>
      <c r="E130" s="366">
        <f t="shared" ref="E130:H130" ca="1" si="33">E107-E126</f>
        <v>168151.62</v>
      </c>
      <c r="F130" s="366">
        <f t="shared" ca="1" si="33"/>
        <v>168151.62</v>
      </c>
      <c r="G130" s="366">
        <f t="shared" ca="1" si="33"/>
        <v>168151.62</v>
      </c>
      <c r="H130" s="366">
        <f t="shared" ca="1" si="33"/>
        <v>168151.62</v>
      </c>
    </row>
    <row r="131" spans="1:11" ht="37.5" x14ac:dyDescent="0.2">
      <c r="A131" s="364">
        <v>20100</v>
      </c>
      <c r="B131" s="365" t="s">
        <v>203</v>
      </c>
      <c r="C131" s="368"/>
      <c r="D131" s="369"/>
      <c r="E131" s="368"/>
      <c r="F131" s="368"/>
      <c r="G131" s="368"/>
      <c r="H131" s="368"/>
    </row>
    <row r="132" spans="1:11" ht="37.5" x14ac:dyDescent="0.2">
      <c r="A132" s="364">
        <v>20200</v>
      </c>
      <c r="B132" s="365" t="s">
        <v>204</v>
      </c>
      <c r="C132" s="368"/>
      <c r="D132" s="369"/>
      <c r="E132" s="368"/>
      <c r="F132" s="368"/>
      <c r="G132" s="368"/>
      <c r="H132" s="368"/>
    </row>
    <row r="133" spans="1:11" ht="37.5" x14ac:dyDescent="0.2">
      <c r="A133" s="364">
        <v>21000</v>
      </c>
      <c r="B133" s="370" t="s">
        <v>205</v>
      </c>
      <c r="C133" s="371">
        <f ca="1">C3+C45+C105+C130+C131+C132</f>
        <v>2212856</v>
      </c>
      <c r="D133" s="371">
        <f ca="1">D3+D45+D105+D130+D131+D132</f>
        <v>707277.83999999391</v>
      </c>
      <c r="E133" s="371">
        <f ca="1">E3+E45+E105+E130+E131+E132</f>
        <v>553064.34918118967</v>
      </c>
      <c r="F133" s="371">
        <f t="shared" ref="F133:G133" ca="1" si="34">F3+F45+F105+F130+F131+F132</f>
        <v>305663.6004165248</v>
      </c>
      <c r="G133" s="371">
        <f t="shared" ca="1" si="34"/>
        <v>158467.52433849161</v>
      </c>
      <c r="H133" s="371">
        <f ca="1">H3+H45+H105+H130+H131+H132</f>
        <v>380961.89505574515</v>
      </c>
    </row>
    <row r="134" spans="1:11" x14ac:dyDescent="0.2">
      <c r="A134" s="84">
        <v>21100</v>
      </c>
      <c r="B134" s="85" t="s">
        <v>206</v>
      </c>
      <c r="C134" s="353"/>
      <c r="D134" s="360"/>
      <c r="E134" s="38"/>
      <c r="F134" s="38"/>
      <c r="G134" s="38"/>
      <c r="H134" s="38"/>
    </row>
    <row r="135" spans="1:11" x14ac:dyDescent="0.2">
      <c r="A135" s="84">
        <v>21200</v>
      </c>
      <c r="B135" s="85" t="s">
        <v>207</v>
      </c>
      <c r="C135" s="353"/>
      <c r="D135" s="360">
        <v>88812.73</v>
      </c>
      <c r="E135" s="38">
        <v>168151.62</v>
      </c>
      <c r="F135" s="38">
        <v>168152</v>
      </c>
      <c r="G135" s="38"/>
      <c r="H135" s="38"/>
    </row>
    <row r="136" spans="1:11" ht="17.25" customHeight="1" x14ac:dyDescent="0.2">
      <c r="A136" s="84">
        <v>21300</v>
      </c>
      <c r="B136" s="85" t="s">
        <v>208</v>
      </c>
      <c r="C136" s="353"/>
      <c r="D136" s="360"/>
      <c r="E136" s="38"/>
      <c r="F136" s="38"/>
      <c r="G136" s="38"/>
      <c r="H136" s="38"/>
    </row>
    <row r="137" spans="1:11" x14ac:dyDescent="0.2">
      <c r="A137" s="84">
        <v>21400</v>
      </c>
      <c r="B137" s="85" t="s">
        <v>209</v>
      </c>
      <c r="C137" s="360">
        <v>1168</v>
      </c>
      <c r="D137" s="360">
        <v>1168.01</v>
      </c>
      <c r="E137" s="38">
        <v>1168.01</v>
      </c>
      <c r="F137" s="38">
        <v>1168.01</v>
      </c>
      <c r="G137" s="38">
        <v>1168.01</v>
      </c>
      <c r="H137" s="38">
        <v>1168.01</v>
      </c>
    </row>
    <row r="138" spans="1:11" x14ac:dyDescent="0.2">
      <c r="A138" s="84">
        <v>21500</v>
      </c>
      <c r="B138" s="85" t="s">
        <v>210</v>
      </c>
      <c r="C138" s="353">
        <f t="shared" ref="C138" ca="1" si="35">C133-C135-C137-C140</f>
        <v>2211688</v>
      </c>
      <c r="D138" s="360">
        <f>616492.31+805.31</f>
        <v>617297.62000000011</v>
      </c>
      <c r="E138" s="38">
        <f ca="1">E133-E135-E137</f>
        <v>383744.71918118966</v>
      </c>
      <c r="F138" s="38">
        <f ca="1">F133-F135-F137</f>
        <v>136343.59041652479</v>
      </c>
      <c r="G138" s="38">
        <f ca="1">G133-G137</f>
        <v>157299.5143384916</v>
      </c>
      <c r="H138" s="38">
        <f ca="1">H133-H137</f>
        <v>379793.88505574514</v>
      </c>
    </row>
    <row r="139" spans="1:11" x14ac:dyDescent="0.2">
      <c r="A139" s="84">
        <v>21600</v>
      </c>
      <c r="B139" s="85" t="s">
        <v>211</v>
      </c>
      <c r="C139" s="353"/>
      <c r="D139" s="360"/>
      <c r="E139" s="38"/>
      <c r="F139" s="38"/>
      <c r="G139" s="38"/>
      <c r="H139" s="38"/>
      <c r="K139" s="424"/>
    </row>
    <row r="140" spans="1:11" x14ac:dyDescent="0.2">
      <c r="A140" s="84">
        <v>21700</v>
      </c>
      <c r="B140" s="85" t="s">
        <v>212</v>
      </c>
      <c r="C140" s="353"/>
      <c r="D140" s="360"/>
      <c r="E140" s="38"/>
      <c r="F140" s="38"/>
      <c r="G140" s="38"/>
      <c r="H140" s="38"/>
    </row>
    <row r="141" spans="1:11" ht="37.5" customHeight="1" x14ac:dyDescent="0.2">
      <c r="A141" s="447" t="s">
        <v>586</v>
      </c>
      <c r="B141" s="447"/>
      <c r="C141" s="447"/>
      <c r="D141" s="447"/>
      <c r="E141" s="447"/>
      <c r="F141" s="447"/>
      <c r="G141" s="447"/>
      <c r="H141" s="447"/>
    </row>
    <row r="144" spans="1:11" x14ac:dyDescent="0.2">
      <c r="A144" s="60"/>
      <c r="D144" s="60"/>
    </row>
    <row r="145" s="60" customFormat="1" x14ac:dyDescent="0.2"/>
    <row r="146" s="60" customFormat="1" x14ac:dyDescent="0.2"/>
  </sheetData>
  <mergeCells count="4">
    <mergeCell ref="B4:H4"/>
    <mergeCell ref="B46:H46"/>
    <mergeCell ref="B106:H106"/>
    <mergeCell ref="A141:H141"/>
  </mergeCells>
  <pageMargins left="0.7" right="0.7"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06"/>
  <sheetViews>
    <sheetView topLeftCell="A7" zoomScale="80" zoomScaleNormal="80" workbookViewId="0">
      <selection activeCell="J20" sqref="J20"/>
    </sheetView>
  </sheetViews>
  <sheetFormatPr defaultRowHeight="18.75" x14ac:dyDescent="0.2"/>
  <cols>
    <col min="1" max="1" width="9.5703125" style="184" customWidth="1"/>
    <col min="2" max="2" width="50.28515625" style="184" customWidth="1"/>
    <col min="3" max="3" width="15.5703125" style="278" customWidth="1"/>
    <col min="4" max="4" width="12.7109375" style="184" customWidth="1"/>
    <col min="5" max="5" width="16.42578125" style="278" customWidth="1"/>
    <col min="6" max="7" width="15.5703125" style="184" bestFit="1" customWidth="1"/>
    <col min="8" max="8" width="16.85546875" style="184" bestFit="1" customWidth="1"/>
    <col min="9" max="10" width="15.85546875" style="279" customWidth="1"/>
    <col min="11" max="11" width="72.42578125" style="279" customWidth="1"/>
    <col min="12" max="16384" width="9.140625" style="184"/>
  </cols>
  <sheetData>
    <row r="1" spans="1:11" ht="75" x14ac:dyDescent="0.2">
      <c r="A1" s="182" t="s">
        <v>0</v>
      </c>
      <c r="B1" s="183" t="s">
        <v>283</v>
      </c>
      <c r="C1" s="115" t="s">
        <v>606</v>
      </c>
      <c r="D1" s="115" t="s">
        <v>614</v>
      </c>
      <c r="E1" s="115" t="s">
        <v>608</v>
      </c>
      <c r="F1" s="115" t="s">
        <v>609</v>
      </c>
      <c r="G1" s="115" t="s">
        <v>610</v>
      </c>
      <c r="H1" s="115" t="s">
        <v>611</v>
      </c>
      <c r="I1" s="118" t="s">
        <v>612</v>
      </c>
      <c r="J1" s="150" t="s">
        <v>613</v>
      </c>
      <c r="K1" s="118" t="s">
        <v>419</v>
      </c>
    </row>
    <row r="2" spans="1:11" x14ac:dyDescent="0.2">
      <c r="A2" s="146">
        <v>1</v>
      </c>
      <c r="B2" s="185">
        <v>2</v>
      </c>
      <c r="C2" s="146">
        <v>3</v>
      </c>
      <c r="D2" s="185">
        <v>4</v>
      </c>
      <c r="E2" s="146">
        <v>5</v>
      </c>
      <c r="F2" s="185">
        <v>6</v>
      </c>
      <c r="G2" s="146">
        <v>7</v>
      </c>
      <c r="H2" s="185">
        <v>8</v>
      </c>
      <c r="I2" s="146">
        <v>9</v>
      </c>
      <c r="J2" s="185">
        <v>10</v>
      </c>
      <c r="K2" s="146">
        <v>11</v>
      </c>
    </row>
    <row r="3" spans="1:11" ht="19.5" x14ac:dyDescent="0.2">
      <c r="A3" s="187" t="s">
        <v>282</v>
      </c>
      <c r="B3" s="188" t="s">
        <v>472</v>
      </c>
      <c r="C3" s="189" t="s">
        <v>217</v>
      </c>
      <c r="D3" s="191" t="s">
        <v>217</v>
      </c>
      <c r="E3" s="189" t="s">
        <v>217</v>
      </c>
      <c r="F3" s="190" t="s">
        <v>217</v>
      </c>
      <c r="G3" s="191" t="s">
        <v>217</v>
      </c>
      <c r="H3" s="191" t="s">
        <v>217</v>
      </c>
      <c r="I3" s="192" t="s">
        <v>217</v>
      </c>
      <c r="J3" s="193" t="s">
        <v>217</v>
      </c>
      <c r="K3" s="193" t="s">
        <v>217</v>
      </c>
    </row>
    <row r="4" spans="1:11" ht="75" x14ac:dyDescent="0.2">
      <c r="A4" s="194" t="s">
        <v>281</v>
      </c>
      <c r="B4" s="195" t="s">
        <v>473</v>
      </c>
      <c r="C4" s="196" t="s">
        <v>217</v>
      </c>
      <c r="D4" s="197" t="s">
        <v>217</v>
      </c>
      <c r="E4" s="196" t="s">
        <v>217</v>
      </c>
      <c r="F4" s="197" t="s">
        <v>217</v>
      </c>
      <c r="G4" s="197" t="s">
        <v>217</v>
      </c>
      <c r="H4" s="197" t="s">
        <v>217</v>
      </c>
      <c r="I4" s="198" t="s">
        <v>217</v>
      </c>
      <c r="J4" s="198" t="s">
        <v>217</v>
      </c>
      <c r="K4" s="198" t="s">
        <v>217</v>
      </c>
    </row>
    <row r="5" spans="1:11" ht="37.5" x14ac:dyDescent="0.2">
      <c r="A5" s="199" t="s">
        <v>280</v>
      </c>
      <c r="B5" s="200" t="s">
        <v>474</v>
      </c>
      <c r="C5" s="389">
        <v>25265</v>
      </c>
      <c r="D5" s="396">
        <v>25395</v>
      </c>
      <c r="E5" s="201">
        <v>5407</v>
      </c>
      <c r="F5" s="202">
        <v>12204</v>
      </c>
      <c r="G5" s="202">
        <v>19709</v>
      </c>
      <c r="H5" s="202">
        <v>26013</v>
      </c>
      <c r="I5" s="203">
        <f t="shared" ref="I5:I10" si="0">H5-D5</f>
        <v>618</v>
      </c>
      <c r="J5" s="204">
        <f>IFERROR(I5/ABS(D5), "-")</f>
        <v>2.4335499113998817E-2</v>
      </c>
      <c r="K5" s="205"/>
    </row>
    <row r="6" spans="1:11" ht="75" x14ac:dyDescent="0.2">
      <c r="A6" s="199" t="s">
        <v>279</v>
      </c>
      <c r="B6" s="206" t="s">
        <v>510</v>
      </c>
      <c r="C6" s="342">
        <v>22055</v>
      </c>
      <c r="D6" s="41">
        <v>21821</v>
      </c>
      <c r="E6" s="207">
        <v>4471</v>
      </c>
      <c r="F6" s="208">
        <v>10447</v>
      </c>
      <c r="G6" s="208">
        <v>17060</v>
      </c>
      <c r="H6" s="208">
        <v>22259</v>
      </c>
      <c r="I6" s="203">
        <f t="shared" si="0"/>
        <v>438</v>
      </c>
      <c r="J6" s="204">
        <f t="shared" ref="J6:J14" si="1">IFERROR(I6/ABS(D6), "-")</f>
        <v>2.0072407314055268E-2</v>
      </c>
      <c r="K6" s="205"/>
    </row>
    <row r="7" spans="1:11" ht="37.5" x14ac:dyDescent="0.2">
      <c r="A7" s="199" t="s">
        <v>278</v>
      </c>
      <c r="B7" s="206" t="s">
        <v>511</v>
      </c>
      <c r="C7" s="342">
        <v>3210</v>
      </c>
      <c r="D7" s="41">
        <v>3574</v>
      </c>
      <c r="E7" s="285">
        <v>936</v>
      </c>
      <c r="F7" s="110">
        <v>1757</v>
      </c>
      <c r="G7" s="110">
        <v>2649</v>
      </c>
      <c r="H7" s="110">
        <v>3754</v>
      </c>
      <c r="I7" s="203">
        <f t="shared" si="0"/>
        <v>180</v>
      </c>
      <c r="J7" s="204">
        <f t="shared" si="1"/>
        <v>5.0363738108561838E-2</v>
      </c>
      <c r="K7" s="205"/>
    </row>
    <row r="8" spans="1:11" ht="56.25" hidden="1" x14ac:dyDescent="0.2">
      <c r="A8" s="199" t="s">
        <v>277</v>
      </c>
      <c r="B8" s="206" t="s">
        <v>512</v>
      </c>
      <c r="C8" s="390"/>
      <c r="D8" s="396"/>
      <c r="E8" s="286"/>
      <c r="F8" s="287"/>
      <c r="G8" s="287"/>
      <c r="H8" s="287"/>
      <c r="I8" s="203">
        <f t="shared" si="0"/>
        <v>0</v>
      </c>
      <c r="J8" s="204" t="str">
        <f t="shared" si="1"/>
        <v>-</v>
      </c>
      <c r="K8" s="205"/>
    </row>
    <row r="9" spans="1:11" ht="56.25" hidden="1" x14ac:dyDescent="0.2">
      <c r="A9" s="209" t="s">
        <v>276</v>
      </c>
      <c r="B9" s="210" t="s">
        <v>475</v>
      </c>
      <c r="C9" s="342"/>
      <c r="D9" s="41"/>
      <c r="E9" s="285"/>
      <c r="F9" s="110"/>
      <c r="G9" s="110"/>
      <c r="H9" s="110"/>
      <c r="I9" s="203">
        <f t="shared" si="0"/>
        <v>0</v>
      </c>
      <c r="J9" s="204" t="str">
        <f t="shared" si="1"/>
        <v>-</v>
      </c>
      <c r="K9" s="205"/>
    </row>
    <row r="10" spans="1:11" ht="37.5" hidden="1" x14ac:dyDescent="0.2">
      <c r="A10" s="209" t="s">
        <v>275</v>
      </c>
      <c r="B10" s="210" t="s">
        <v>476</v>
      </c>
      <c r="C10" s="342"/>
      <c r="D10" s="41"/>
      <c r="E10" s="285"/>
      <c r="F10" s="110"/>
      <c r="G10" s="110"/>
      <c r="H10" s="110"/>
      <c r="I10" s="203">
        <f t="shared" si="0"/>
        <v>0</v>
      </c>
      <c r="J10" s="204" t="str">
        <f t="shared" si="1"/>
        <v>-</v>
      </c>
      <c r="K10" s="205"/>
    </row>
    <row r="11" spans="1:11" ht="37.5" x14ac:dyDescent="0.2">
      <c r="A11" s="209" t="s">
        <v>477</v>
      </c>
      <c r="B11" s="211" t="s">
        <v>478</v>
      </c>
      <c r="C11" s="391">
        <v>3210</v>
      </c>
      <c r="D11" s="391">
        <v>3574</v>
      </c>
      <c r="E11" s="288">
        <v>936</v>
      </c>
      <c r="F11" s="288">
        <v>1757</v>
      </c>
      <c r="G11" s="288">
        <v>2649</v>
      </c>
      <c r="H11" s="288">
        <v>3754</v>
      </c>
      <c r="I11" s="212">
        <f>I7+I10</f>
        <v>180</v>
      </c>
      <c r="J11" s="213">
        <f t="shared" si="1"/>
        <v>5.0363738108561838E-2</v>
      </c>
      <c r="K11" s="214"/>
    </row>
    <row r="12" spans="1:11" ht="56.25" x14ac:dyDescent="0.2">
      <c r="A12" s="209" t="s">
        <v>479</v>
      </c>
      <c r="B12" s="211" t="s">
        <v>538</v>
      </c>
      <c r="C12" s="215">
        <f t="shared" ref="C12:D12" si="2">C7/C5</f>
        <v>0.12705323570156343</v>
      </c>
      <c r="D12" s="215">
        <f t="shared" si="2"/>
        <v>0.14073636542626503</v>
      </c>
      <c r="E12" s="215">
        <f>E7/E5</f>
        <v>0.17310893286480489</v>
      </c>
      <c r="F12" s="215">
        <f>F7/F5</f>
        <v>0.14396919042936743</v>
      </c>
      <c r="G12" s="215">
        <f t="shared" ref="G12:H12" si="3">G7/G5</f>
        <v>0.13440560150185193</v>
      </c>
      <c r="H12" s="215">
        <f t="shared" si="3"/>
        <v>0.14431245915503788</v>
      </c>
      <c r="I12" s="283">
        <f>H12-D12</f>
        <v>3.57609372877285E-3</v>
      </c>
      <c r="J12" s="213">
        <f>IFERROR(I12/ABS(D12), "-")</f>
        <v>2.5409876956403614E-2</v>
      </c>
      <c r="K12" s="214"/>
    </row>
    <row r="13" spans="1:11" ht="22.5" hidden="1" x14ac:dyDescent="0.2">
      <c r="A13" s="209" t="s">
        <v>480</v>
      </c>
      <c r="B13" s="211" t="s">
        <v>513</v>
      </c>
      <c r="C13" s="393"/>
      <c r="D13" s="393"/>
      <c r="E13" s="216"/>
      <c r="F13" s="216"/>
      <c r="G13" s="216"/>
      <c r="H13" s="216"/>
      <c r="I13" s="203">
        <f t="shared" ref="I13" si="4">H13-D13</f>
        <v>0</v>
      </c>
      <c r="J13" s="213" t="str">
        <f t="shared" si="1"/>
        <v>-</v>
      </c>
      <c r="K13" s="214"/>
    </row>
    <row r="14" spans="1:11" ht="56.25" hidden="1" x14ac:dyDescent="0.2">
      <c r="A14" s="209" t="s">
        <v>481</v>
      </c>
      <c r="B14" s="211" t="s">
        <v>482</v>
      </c>
      <c r="C14" s="392">
        <v>0</v>
      </c>
      <c r="D14" s="392">
        <v>0</v>
      </c>
      <c r="E14" s="215"/>
      <c r="F14" s="215"/>
      <c r="G14" s="215"/>
      <c r="H14" s="215"/>
      <c r="I14" s="283">
        <f t="shared" ref="I14" si="5">H14-D14</f>
        <v>0</v>
      </c>
      <c r="J14" s="213" t="str">
        <f t="shared" si="1"/>
        <v>-</v>
      </c>
      <c r="K14" s="214"/>
    </row>
    <row r="15" spans="1:11" ht="19.5" x14ac:dyDescent="0.2">
      <c r="A15" s="194" t="s">
        <v>274</v>
      </c>
      <c r="B15" s="217" t="s">
        <v>483</v>
      </c>
      <c r="C15" s="434" t="s">
        <v>217</v>
      </c>
      <c r="D15" s="191" t="s">
        <v>217</v>
      </c>
      <c r="E15" s="434" t="s">
        <v>217</v>
      </c>
      <c r="F15" s="190" t="s">
        <v>217</v>
      </c>
      <c r="G15" s="191" t="s">
        <v>217</v>
      </c>
      <c r="H15" s="191" t="s">
        <v>217</v>
      </c>
      <c r="I15" s="192" t="s">
        <v>217</v>
      </c>
      <c r="J15" s="193" t="s">
        <v>217</v>
      </c>
      <c r="K15" s="198" t="s">
        <v>217</v>
      </c>
    </row>
    <row r="16" spans="1:11" x14ac:dyDescent="0.2">
      <c r="A16" s="218" t="s">
        <v>273</v>
      </c>
      <c r="B16" s="219" t="s">
        <v>272</v>
      </c>
      <c r="C16" s="100">
        <v>204</v>
      </c>
      <c r="D16" s="433">
        <v>214</v>
      </c>
      <c r="E16" s="100">
        <v>220</v>
      </c>
      <c r="F16" s="4">
        <v>220</v>
      </c>
      <c r="G16" s="4">
        <v>220</v>
      </c>
      <c r="H16" s="4">
        <v>220</v>
      </c>
      <c r="I16" s="220">
        <f t="shared" ref="I16:I30" si="6">H16-D16</f>
        <v>6</v>
      </c>
      <c r="J16" s="204">
        <f t="shared" ref="J16:J30" si="7">IFERROR(I16/ABS(D16), "-")</f>
        <v>2.8037383177570093E-2</v>
      </c>
      <c r="K16" s="47"/>
    </row>
    <row r="17" spans="1:11" x14ac:dyDescent="0.2">
      <c r="A17" s="218" t="s">
        <v>350</v>
      </c>
      <c r="B17" s="221" t="s">
        <v>484</v>
      </c>
      <c r="C17" s="101">
        <v>39324</v>
      </c>
      <c r="D17" s="4">
        <v>35191</v>
      </c>
      <c r="E17" s="101">
        <v>8443</v>
      </c>
      <c r="F17" s="4">
        <v>17756</v>
      </c>
      <c r="G17" s="4">
        <v>27375</v>
      </c>
      <c r="H17" s="41">
        <v>37303</v>
      </c>
      <c r="I17" s="220">
        <f t="shared" si="6"/>
        <v>2112</v>
      </c>
      <c r="J17" s="204">
        <f t="shared" si="7"/>
        <v>6.0015344832485579E-2</v>
      </c>
      <c r="K17" s="46"/>
    </row>
    <row r="18" spans="1:11" ht="37.5" x14ac:dyDescent="0.2">
      <c r="A18" s="222" t="s">
        <v>284</v>
      </c>
      <c r="B18" s="223" t="s">
        <v>485</v>
      </c>
      <c r="C18" s="232">
        <v>527</v>
      </c>
      <c r="D18" s="233">
        <v>586</v>
      </c>
      <c r="E18" s="281">
        <v>570</v>
      </c>
      <c r="F18" s="290">
        <v>574</v>
      </c>
      <c r="G18" s="290">
        <v>575</v>
      </c>
      <c r="H18" s="290">
        <v>578</v>
      </c>
      <c r="I18" s="226">
        <f t="shared" si="6"/>
        <v>-8</v>
      </c>
      <c r="J18" s="227">
        <f>IFERROR(I18/ABS(D18), "-")</f>
        <v>-1.3651877133105802E-2</v>
      </c>
      <c r="K18" s="423"/>
    </row>
    <row r="19" spans="1:11" ht="37.5" x14ac:dyDescent="0.2">
      <c r="A19" s="222" t="s">
        <v>285</v>
      </c>
      <c r="B19" s="223" t="s">
        <v>486</v>
      </c>
      <c r="C19" s="232">
        <v>522</v>
      </c>
      <c r="D19" s="233">
        <v>612</v>
      </c>
      <c r="E19" s="281">
        <v>592</v>
      </c>
      <c r="F19" s="290">
        <v>595</v>
      </c>
      <c r="G19" s="290">
        <v>595</v>
      </c>
      <c r="H19" s="290">
        <v>597</v>
      </c>
      <c r="I19" s="226">
        <f t="shared" si="6"/>
        <v>-15</v>
      </c>
      <c r="J19" s="227">
        <f t="shared" si="7"/>
        <v>-2.4509803921568627E-2</v>
      </c>
      <c r="K19" s="423"/>
    </row>
    <row r="20" spans="1:11" ht="41.25" x14ac:dyDescent="0.2">
      <c r="A20" s="218" t="s">
        <v>271</v>
      </c>
      <c r="B20" s="228" t="s">
        <v>514</v>
      </c>
      <c r="C20" s="100">
        <v>6438</v>
      </c>
      <c r="D20" s="4">
        <v>6086</v>
      </c>
      <c r="E20" s="100">
        <v>1552</v>
      </c>
      <c r="F20" s="4">
        <v>3174</v>
      </c>
      <c r="G20" s="4">
        <v>4874</v>
      </c>
      <c r="H20" s="41">
        <v>6466</v>
      </c>
      <c r="I20" s="220">
        <f t="shared" si="6"/>
        <v>380</v>
      </c>
      <c r="J20" s="204">
        <f t="shared" si="7"/>
        <v>6.2438383174498853E-2</v>
      </c>
      <c r="K20" s="46"/>
    </row>
    <row r="21" spans="1:11" ht="41.25" x14ac:dyDescent="0.2">
      <c r="A21" s="229" t="s">
        <v>348</v>
      </c>
      <c r="B21" s="230" t="s">
        <v>539</v>
      </c>
      <c r="C21" s="100">
        <v>6151</v>
      </c>
      <c r="D21" s="4">
        <v>5827</v>
      </c>
      <c r="E21" s="100">
        <v>1500</v>
      </c>
      <c r="F21" s="4">
        <v>3055</v>
      </c>
      <c r="G21" s="4">
        <v>4673</v>
      </c>
      <c r="H21" s="41">
        <v>6189</v>
      </c>
      <c r="I21" s="220">
        <f t="shared" si="6"/>
        <v>362</v>
      </c>
      <c r="J21" s="204">
        <f t="shared" si="7"/>
        <v>6.2124592414621586E-2</v>
      </c>
      <c r="K21" s="284"/>
    </row>
    <row r="22" spans="1:11" ht="41.25" x14ac:dyDescent="0.2">
      <c r="A22" s="218" t="s">
        <v>270</v>
      </c>
      <c r="B22" s="219" t="s">
        <v>515</v>
      </c>
      <c r="C22" s="100">
        <v>3228</v>
      </c>
      <c r="D22" s="4">
        <v>2512</v>
      </c>
      <c r="E22" s="100">
        <v>616</v>
      </c>
      <c r="F22" s="4">
        <v>1417</v>
      </c>
      <c r="G22" s="4">
        <v>2225</v>
      </c>
      <c r="H22" s="41">
        <v>2712</v>
      </c>
      <c r="I22" s="220">
        <f t="shared" si="6"/>
        <v>200</v>
      </c>
      <c r="J22" s="204">
        <f t="shared" si="7"/>
        <v>7.9617834394904455E-2</v>
      </c>
      <c r="K22" s="317"/>
    </row>
    <row r="23" spans="1:11" ht="41.25" x14ac:dyDescent="0.2">
      <c r="A23" s="229" t="s">
        <v>349</v>
      </c>
      <c r="B23" s="230" t="s">
        <v>540</v>
      </c>
      <c r="C23" s="100">
        <v>2953</v>
      </c>
      <c r="D23" s="4">
        <v>2275</v>
      </c>
      <c r="E23" s="100">
        <v>569</v>
      </c>
      <c r="F23" s="4">
        <v>1307</v>
      </c>
      <c r="G23" s="4">
        <v>2038</v>
      </c>
      <c r="H23" s="41">
        <v>2457</v>
      </c>
      <c r="I23" s="220">
        <f t="shared" si="6"/>
        <v>182</v>
      </c>
      <c r="J23" s="204">
        <f t="shared" si="7"/>
        <v>0.08</v>
      </c>
      <c r="K23" s="317"/>
    </row>
    <row r="24" spans="1:11" ht="41.25" x14ac:dyDescent="0.2">
      <c r="A24" s="229" t="s">
        <v>487</v>
      </c>
      <c r="B24" s="228" t="s">
        <v>516</v>
      </c>
      <c r="C24" s="100">
        <v>3210</v>
      </c>
      <c r="D24" s="4">
        <v>3574</v>
      </c>
      <c r="E24" s="289">
        <v>936</v>
      </c>
      <c r="F24" s="290">
        <v>1757</v>
      </c>
      <c r="G24" s="290">
        <v>2649</v>
      </c>
      <c r="H24" s="42">
        <v>3754</v>
      </c>
      <c r="I24" s="220">
        <f t="shared" si="6"/>
        <v>180</v>
      </c>
      <c r="J24" s="204">
        <f t="shared" si="7"/>
        <v>5.0363738108561838E-2</v>
      </c>
      <c r="K24" s="46"/>
    </row>
    <row r="25" spans="1:11" ht="41.25" x14ac:dyDescent="0.2">
      <c r="A25" s="229" t="s">
        <v>488</v>
      </c>
      <c r="B25" s="230" t="s">
        <v>541</v>
      </c>
      <c r="C25" s="100">
        <v>3198</v>
      </c>
      <c r="D25" s="4">
        <v>3552</v>
      </c>
      <c r="E25" s="100">
        <v>931</v>
      </c>
      <c r="F25" s="4">
        <v>1748</v>
      </c>
      <c r="G25" s="4">
        <v>2635</v>
      </c>
      <c r="H25" s="41">
        <v>3732</v>
      </c>
      <c r="I25" s="220">
        <f t="shared" si="6"/>
        <v>180</v>
      </c>
      <c r="J25" s="204">
        <f t="shared" si="7"/>
        <v>5.0675675675675678E-2</v>
      </c>
      <c r="K25" s="46"/>
    </row>
    <row r="26" spans="1:11" ht="60" hidden="1" x14ac:dyDescent="0.2">
      <c r="A26" s="218" t="s">
        <v>269</v>
      </c>
      <c r="B26" s="211" t="s">
        <v>588</v>
      </c>
      <c r="C26" s="394"/>
      <c r="D26" s="4"/>
      <c r="E26" s="231"/>
      <c r="F26" s="4"/>
      <c r="G26" s="4"/>
      <c r="H26" s="41"/>
      <c r="I26" s="220">
        <f t="shared" si="6"/>
        <v>0</v>
      </c>
      <c r="J26" s="204" t="str">
        <f t="shared" si="7"/>
        <v>-</v>
      </c>
      <c r="K26" s="46"/>
    </row>
    <row r="27" spans="1:11" ht="69.75" customHeight="1" x14ac:dyDescent="0.2">
      <c r="A27" s="218" t="s">
        <v>268</v>
      </c>
      <c r="B27" s="211" t="s">
        <v>589</v>
      </c>
      <c r="C27" s="394">
        <v>69</v>
      </c>
      <c r="D27" s="4">
        <v>22</v>
      </c>
      <c r="E27" s="231">
        <v>3</v>
      </c>
      <c r="F27" s="4">
        <v>13</v>
      </c>
      <c r="G27" s="4">
        <v>26</v>
      </c>
      <c r="H27" s="41">
        <v>31</v>
      </c>
      <c r="I27" s="220">
        <f t="shared" si="6"/>
        <v>9</v>
      </c>
      <c r="J27" s="204">
        <f t="shared" si="7"/>
        <v>0.40909090909090912</v>
      </c>
      <c r="K27" s="425" t="s">
        <v>644</v>
      </c>
    </row>
    <row r="28" spans="1:11" ht="37.5" x14ac:dyDescent="0.2">
      <c r="A28" s="218" t="s">
        <v>267</v>
      </c>
      <c r="B28" s="211" t="s">
        <v>335</v>
      </c>
      <c r="C28" s="394">
        <v>11768</v>
      </c>
      <c r="D28" s="4">
        <v>11662</v>
      </c>
      <c r="E28" s="231">
        <v>2956</v>
      </c>
      <c r="F28" s="4">
        <v>6217</v>
      </c>
      <c r="G28" s="4">
        <v>9423</v>
      </c>
      <c r="H28" s="41">
        <v>12363</v>
      </c>
      <c r="I28" s="220">
        <f t="shared" si="6"/>
        <v>701</v>
      </c>
      <c r="J28" s="204">
        <f t="shared" si="7"/>
        <v>6.0109758188989879E-2</v>
      </c>
      <c r="K28" s="46"/>
    </row>
    <row r="29" spans="1:11" ht="37.5" x14ac:dyDescent="0.2">
      <c r="A29" s="222" t="s">
        <v>266</v>
      </c>
      <c r="B29" s="223" t="s">
        <v>336</v>
      </c>
      <c r="C29" s="232">
        <v>6.04</v>
      </c>
      <c r="D29" s="233">
        <v>5.88</v>
      </c>
      <c r="E29" s="232">
        <v>5.82</v>
      </c>
      <c r="F29" s="233">
        <v>5.82</v>
      </c>
      <c r="G29" s="233">
        <v>5.76</v>
      </c>
      <c r="H29" s="234">
        <v>5.82</v>
      </c>
      <c r="I29" s="235">
        <f t="shared" si="6"/>
        <v>-5.9999999999999609E-2</v>
      </c>
      <c r="J29" s="227">
        <f t="shared" si="7"/>
        <v>-1.0204081632652994E-2</v>
      </c>
      <c r="K29" s="236"/>
    </row>
    <row r="30" spans="1:11" ht="37.5" x14ac:dyDescent="0.2">
      <c r="A30" s="222" t="s">
        <v>265</v>
      </c>
      <c r="B30" s="223" t="s">
        <v>542</v>
      </c>
      <c r="C30" s="232">
        <v>53.8</v>
      </c>
      <c r="D30" s="233">
        <v>45.73</v>
      </c>
      <c r="E30" s="232">
        <v>47.37</v>
      </c>
      <c r="F30" s="233">
        <v>47.94</v>
      </c>
      <c r="G30" s="233">
        <v>48.09</v>
      </c>
      <c r="H30" s="234">
        <v>48.02</v>
      </c>
      <c r="I30" s="235">
        <f t="shared" si="6"/>
        <v>2.2900000000000063</v>
      </c>
      <c r="J30" s="227">
        <f t="shared" si="7"/>
        <v>5.0076536190684591E-2</v>
      </c>
      <c r="K30" s="236"/>
    </row>
    <row r="31" spans="1:11" ht="19.5" x14ac:dyDescent="0.2">
      <c r="A31" s="237" t="s">
        <v>264</v>
      </c>
      <c r="B31" s="238" t="s">
        <v>489</v>
      </c>
      <c r="C31" s="189" t="s">
        <v>217</v>
      </c>
      <c r="D31" s="191" t="s">
        <v>217</v>
      </c>
      <c r="E31" s="189" t="s">
        <v>217</v>
      </c>
      <c r="F31" s="190" t="s">
        <v>217</v>
      </c>
      <c r="G31" s="191" t="s">
        <v>217</v>
      </c>
      <c r="H31" s="191" t="s">
        <v>217</v>
      </c>
      <c r="I31" s="192" t="s">
        <v>217</v>
      </c>
      <c r="J31" s="193" t="s">
        <v>217</v>
      </c>
      <c r="K31" s="198" t="s">
        <v>217</v>
      </c>
    </row>
    <row r="32" spans="1:11" x14ac:dyDescent="0.2">
      <c r="A32" s="222" t="s">
        <v>262</v>
      </c>
      <c r="B32" s="223" t="s">
        <v>490</v>
      </c>
      <c r="C32" s="239">
        <v>99819</v>
      </c>
      <c r="D32" s="397">
        <v>103252</v>
      </c>
      <c r="E32" s="239">
        <v>25666</v>
      </c>
      <c r="F32" s="240">
        <v>54961</v>
      </c>
      <c r="G32" s="240">
        <v>85377</v>
      </c>
      <c r="H32" s="241">
        <v>108417</v>
      </c>
      <c r="I32" s="220">
        <f t="shared" ref="I32:I40" si="8">H32-D32</f>
        <v>5165</v>
      </c>
      <c r="J32" s="204">
        <f t="shared" ref="J32:J40" si="9">IFERROR(I32/ABS(D32), "-")</f>
        <v>5.0023244101809167E-2</v>
      </c>
      <c r="K32" s="46"/>
    </row>
    <row r="33" spans="1:11" x14ac:dyDescent="0.2">
      <c r="A33" s="218" t="s">
        <v>337</v>
      </c>
      <c r="B33" s="242" t="s">
        <v>491</v>
      </c>
      <c r="C33" s="101">
        <v>81542</v>
      </c>
      <c r="D33" s="4">
        <v>84242</v>
      </c>
      <c r="E33" s="101">
        <v>21081</v>
      </c>
      <c r="F33" s="43">
        <v>44918</v>
      </c>
      <c r="G33" s="43">
        <v>69190</v>
      </c>
      <c r="H33" s="37">
        <v>88456</v>
      </c>
      <c r="I33" s="220">
        <f t="shared" si="8"/>
        <v>4214</v>
      </c>
      <c r="J33" s="204">
        <f t="shared" si="9"/>
        <v>5.0022554070416184E-2</v>
      </c>
      <c r="K33" s="46"/>
    </row>
    <row r="34" spans="1:11" x14ac:dyDescent="0.2">
      <c r="A34" s="218" t="s">
        <v>338</v>
      </c>
      <c r="B34" s="243" t="s">
        <v>263</v>
      </c>
      <c r="C34" s="101">
        <v>470</v>
      </c>
      <c r="D34" s="4">
        <v>471</v>
      </c>
      <c r="E34" s="101">
        <v>49</v>
      </c>
      <c r="F34" s="43">
        <v>161</v>
      </c>
      <c r="G34" s="43">
        <v>358</v>
      </c>
      <c r="H34" s="37">
        <v>494</v>
      </c>
      <c r="I34" s="220">
        <f t="shared" si="8"/>
        <v>23</v>
      </c>
      <c r="J34" s="204">
        <f t="shared" si="9"/>
        <v>4.8832271762208071E-2</v>
      </c>
      <c r="K34" s="317"/>
    </row>
    <row r="35" spans="1:11" x14ac:dyDescent="0.2">
      <c r="A35" s="218" t="s">
        <v>339</v>
      </c>
      <c r="B35" s="242" t="s">
        <v>492</v>
      </c>
      <c r="C35" s="101">
        <v>18277</v>
      </c>
      <c r="D35" s="4">
        <v>19010</v>
      </c>
      <c r="E35" s="101">
        <v>4585</v>
      </c>
      <c r="F35" s="43">
        <v>10043</v>
      </c>
      <c r="G35" s="43">
        <v>16187</v>
      </c>
      <c r="H35" s="37">
        <v>19961</v>
      </c>
      <c r="I35" s="220">
        <f t="shared" si="8"/>
        <v>951</v>
      </c>
      <c r="J35" s="204">
        <f t="shared" si="9"/>
        <v>5.0026301946344026E-2</v>
      </c>
      <c r="K35" s="317"/>
    </row>
    <row r="36" spans="1:11" hidden="1" x14ac:dyDescent="0.2">
      <c r="A36" s="218" t="s">
        <v>340</v>
      </c>
      <c r="B36" s="243" t="s">
        <v>263</v>
      </c>
      <c r="C36" s="101">
        <v>0</v>
      </c>
      <c r="D36" s="4">
        <v>0</v>
      </c>
      <c r="E36" s="101">
        <v>0</v>
      </c>
      <c r="F36" s="43">
        <v>0</v>
      </c>
      <c r="G36" s="43">
        <v>0</v>
      </c>
      <c r="H36" s="37">
        <v>0</v>
      </c>
      <c r="I36" s="220">
        <f t="shared" si="8"/>
        <v>0</v>
      </c>
      <c r="J36" s="204" t="str">
        <f t="shared" si="9"/>
        <v>-</v>
      </c>
      <c r="K36" s="317"/>
    </row>
    <row r="37" spans="1:11" hidden="1" x14ac:dyDescent="0.2">
      <c r="A37" s="218" t="s">
        <v>342</v>
      </c>
      <c r="B37" s="221" t="s">
        <v>347</v>
      </c>
      <c r="C37" s="101"/>
      <c r="D37" s="4"/>
      <c r="E37" s="101"/>
      <c r="F37" s="43"/>
      <c r="G37" s="43"/>
      <c r="H37" s="37"/>
      <c r="I37" s="220">
        <f t="shared" si="8"/>
        <v>0</v>
      </c>
      <c r="J37" s="204" t="str">
        <f t="shared" si="9"/>
        <v>-</v>
      </c>
      <c r="K37" s="317"/>
    </row>
    <row r="38" spans="1:11" ht="37.5" hidden="1" x14ac:dyDescent="0.2">
      <c r="A38" s="218" t="s">
        <v>343</v>
      </c>
      <c r="B38" s="221" t="s">
        <v>543</v>
      </c>
      <c r="C38" s="101"/>
      <c r="D38" s="4"/>
      <c r="E38" s="101"/>
      <c r="F38" s="43"/>
      <c r="G38" s="43"/>
      <c r="H38" s="37"/>
      <c r="I38" s="220">
        <f t="shared" si="8"/>
        <v>0</v>
      </c>
      <c r="J38" s="204" t="str">
        <f t="shared" si="9"/>
        <v>-</v>
      </c>
      <c r="K38" s="317"/>
    </row>
    <row r="39" spans="1:11" ht="22.5" x14ac:dyDescent="0.2">
      <c r="A39" s="218" t="s">
        <v>341</v>
      </c>
      <c r="B39" s="223" t="s">
        <v>590</v>
      </c>
      <c r="C39" s="232">
        <v>5540</v>
      </c>
      <c r="D39" s="4">
        <v>2793</v>
      </c>
      <c r="E39" s="232">
        <v>673</v>
      </c>
      <c r="F39" s="43">
        <v>1602</v>
      </c>
      <c r="G39" s="43">
        <v>2300</v>
      </c>
      <c r="H39" s="37">
        <v>2933</v>
      </c>
      <c r="I39" s="220">
        <f t="shared" si="8"/>
        <v>140</v>
      </c>
      <c r="J39" s="204">
        <f t="shared" si="9"/>
        <v>5.0125313283208017E-2</v>
      </c>
      <c r="K39" s="317"/>
    </row>
    <row r="40" spans="1:11" ht="36.75" customHeight="1" x14ac:dyDescent="0.2">
      <c r="A40" s="244" t="s">
        <v>358</v>
      </c>
      <c r="B40" s="245" t="s">
        <v>360</v>
      </c>
      <c r="C40" s="246">
        <v>446</v>
      </c>
      <c r="D40" s="4">
        <v>366</v>
      </c>
      <c r="E40" s="246">
        <v>34</v>
      </c>
      <c r="F40" s="44">
        <v>134</v>
      </c>
      <c r="G40" s="43">
        <v>283</v>
      </c>
      <c r="H40" s="37">
        <v>386</v>
      </c>
      <c r="I40" s="247">
        <f t="shared" si="8"/>
        <v>20</v>
      </c>
      <c r="J40" s="204">
        <f t="shared" si="9"/>
        <v>5.4644808743169397E-2</v>
      </c>
      <c r="K40" s="317"/>
    </row>
    <row r="41" spans="1:11" ht="19.5" hidden="1" x14ac:dyDescent="0.2">
      <c r="A41" s="187" t="s">
        <v>261</v>
      </c>
      <c r="B41" s="248" t="s">
        <v>493</v>
      </c>
      <c r="C41" s="249" t="s">
        <v>217</v>
      </c>
      <c r="D41" s="191" t="s">
        <v>217</v>
      </c>
      <c r="E41" s="249"/>
      <c r="F41" s="190"/>
      <c r="G41" s="191"/>
      <c r="H41" s="191"/>
      <c r="I41" s="192" t="s">
        <v>217</v>
      </c>
      <c r="J41" s="193" t="s">
        <v>217</v>
      </c>
      <c r="K41" s="193" t="s">
        <v>217</v>
      </c>
    </row>
    <row r="42" spans="1:11" hidden="1" x14ac:dyDescent="0.2">
      <c r="A42" s="199" t="s">
        <v>260</v>
      </c>
      <c r="B42" s="250" t="s">
        <v>253</v>
      </c>
      <c r="C42" s="342"/>
      <c r="D42" s="41"/>
      <c r="E42" s="161"/>
      <c r="F42" s="37"/>
      <c r="G42" s="37"/>
      <c r="H42" s="37"/>
      <c r="I42" s="186">
        <f t="shared" ref="I42:I46" si="10">H42-D42</f>
        <v>0</v>
      </c>
      <c r="J42" s="204" t="str">
        <f t="shared" ref="J42:J46" si="11">IFERROR(I42/ABS(D42), "-")</f>
        <v>-</v>
      </c>
      <c r="K42" s="46"/>
    </row>
    <row r="43" spans="1:11" ht="37.5" hidden="1" x14ac:dyDescent="0.2">
      <c r="A43" s="199" t="s">
        <v>259</v>
      </c>
      <c r="B43" s="250" t="s">
        <v>517</v>
      </c>
      <c r="C43" s="342"/>
      <c r="D43" s="41"/>
      <c r="E43" s="251"/>
      <c r="F43" s="58"/>
      <c r="G43" s="58"/>
      <c r="H43" s="58"/>
      <c r="I43" s="252">
        <f t="shared" si="10"/>
        <v>0</v>
      </c>
      <c r="J43" s="204" t="str">
        <f t="shared" si="11"/>
        <v>-</v>
      </c>
      <c r="K43" s="46"/>
    </row>
    <row r="44" spans="1:11" hidden="1" x14ac:dyDescent="0.2">
      <c r="A44" s="199" t="s">
        <v>258</v>
      </c>
      <c r="B44" s="250" t="s">
        <v>518</v>
      </c>
      <c r="C44" s="342"/>
      <c r="D44" s="41"/>
      <c r="E44" s="251"/>
      <c r="F44" s="58"/>
      <c r="G44" s="58"/>
      <c r="H44" s="58"/>
      <c r="I44" s="252">
        <f t="shared" si="10"/>
        <v>0</v>
      </c>
      <c r="J44" s="204" t="str">
        <f t="shared" si="11"/>
        <v>-</v>
      </c>
      <c r="K44" s="46"/>
    </row>
    <row r="45" spans="1:11" hidden="1" x14ac:dyDescent="0.2">
      <c r="A45" s="199" t="s">
        <v>257</v>
      </c>
      <c r="B45" s="250" t="s">
        <v>249</v>
      </c>
      <c r="C45" s="342"/>
      <c r="D45" s="41"/>
      <c r="E45" s="161"/>
      <c r="F45" s="37"/>
      <c r="G45" s="37"/>
      <c r="H45" s="37"/>
      <c r="I45" s="186">
        <f t="shared" si="10"/>
        <v>0</v>
      </c>
      <c r="J45" s="204" t="str">
        <f t="shared" si="11"/>
        <v>-</v>
      </c>
      <c r="K45" s="46"/>
    </row>
    <row r="46" spans="1:11" hidden="1" x14ac:dyDescent="0.2">
      <c r="A46" s="199" t="s">
        <v>256</v>
      </c>
      <c r="B46" s="250" t="s">
        <v>519</v>
      </c>
      <c r="C46" s="342"/>
      <c r="D46" s="41"/>
      <c r="E46" s="161"/>
      <c r="F46" s="37"/>
      <c r="G46" s="37"/>
      <c r="H46" s="37"/>
      <c r="I46" s="186">
        <f t="shared" si="10"/>
        <v>0</v>
      </c>
      <c r="J46" s="204" t="str">
        <f t="shared" si="11"/>
        <v>-</v>
      </c>
      <c r="K46" s="46"/>
    </row>
    <row r="47" spans="1:11" ht="19.5" hidden="1" x14ac:dyDescent="0.2">
      <c r="A47" s="187" t="s">
        <v>255</v>
      </c>
      <c r="B47" s="248" t="s">
        <v>494</v>
      </c>
      <c r="C47" s="249" t="s">
        <v>217</v>
      </c>
      <c r="D47" s="191" t="s">
        <v>217</v>
      </c>
      <c r="E47" s="249"/>
      <c r="F47" s="190"/>
      <c r="G47" s="191"/>
      <c r="H47" s="191"/>
      <c r="I47" s="192" t="s">
        <v>217</v>
      </c>
      <c r="J47" s="193" t="s">
        <v>217</v>
      </c>
      <c r="K47" s="193" t="s">
        <v>217</v>
      </c>
    </row>
    <row r="48" spans="1:11" hidden="1" x14ac:dyDescent="0.2">
      <c r="A48" s="199" t="s">
        <v>254</v>
      </c>
      <c r="B48" s="250" t="s">
        <v>253</v>
      </c>
      <c r="C48" s="342"/>
      <c r="D48" s="41"/>
      <c r="E48" s="161"/>
      <c r="F48" s="37"/>
      <c r="G48" s="37"/>
      <c r="H48" s="37"/>
      <c r="I48" s="186">
        <f t="shared" ref="I48:I52" si="12">H48-D48</f>
        <v>0</v>
      </c>
      <c r="J48" s="204" t="str">
        <f t="shared" ref="J48:J52" si="13">IFERROR(I48/ABS(D48), "-")</f>
        <v>-</v>
      </c>
      <c r="K48" s="46"/>
    </row>
    <row r="49" spans="1:11" ht="37.5" hidden="1" x14ac:dyDescent="0.2">
      <c r="A49" s="199" t="s">
        <v>252</v>
      </c>
      <c r="B49" s="250" t="s">
        <v>517</v>
      </c>
      <c r="C49" s="342"/>
      <c r="D49" s="41"/>
      <c r="E49" s="251"/>
      <c r="F49" s="58"/>
      <c r="G49" s="58"/>
      <c r="H49" s="58"/>
      <c r="I49" s="252">
        <f t="shared" si="12"/>
        <v>0</v>
      </c>
      <c r="J49" s="204" t="str">
        <f t="shared" si="13"/>
        <v>-</v>
      </c>
      <c r="K49" s="46"/>
    </row>
    <row r="50" spans="1:11" hidden="1" x14ac:dyDescent="0.2">
      <c r="A50" s="199" t="s">
        <v>251</v>
      </c>
      <c r="B50" s="250" t="s">
        <v>518</v>
      </c>
      <c r="C50" s="342"/>
      <c r="D50" s="41"/>
      <c r="E50" s="251"/>
      <c r="F50" s="58"/>
      <c r="G50" s="58"/>
      <c r="H50" s="58"/>
      <c r="I50" s="252">
        <f t="shared" si="12"/>
        <v>0</v>
      </c>
      <c r="J50" s="204" t="str">
        <f t="shared" si="13"/>
        <v>-</v>
      </c>
      <c r="K50" s="46"/>
    </row>
    <row r="51" spans="1:11" hidden="1" x14ac:dyDescent="0.2">
      <c r="A51" s="199" t="s">
        <v>250</v>
      </c>
      <c r="B51" s="250" t="s">
        <v>249</v>
      </c>
      <c r="C51" s="342"/>
      <c r="D51" s="41"/>
      <c r="E51" s="161"/>
      <c r="F51" s="37"/>
      <c r="G51" s="37"/>
      <c r="H51" s="37"/>
      <c r="I51" s="186">
        <f t="shared" si="12"/>
        <v>0</v>
      </c>
      <c r="J51" s="204" t="str">
        <f t="shared" si="13"/>
        <v>-</v>
      </c>
      <c r="K51" s="46"/>
    </row>
    <row r="52" spans="1:11" hidden="1" x14ac:dyDescent="0.2">
      <c r="A52" s="199" t="s">
        <v>248</v>
      </c>
      <c r="B52" s="250" t="s">
        <v>519</v>
      </c>
      <c r="C52" s="342"/>
      <c r="D52" s="41"/>
      <c r="E52" s="161"/>
      <c r="F52" s="37"/>
      <c r="G52" s="37"/>
      <c r="H52" s="37"/>
      <c r="I52" s="186">
        <f t="shared" si="12"/>
        <v>0</v>
      </c>
      <c r="J52" s="204" t="str">
        <f t="shared" si="13"/>
        <v>-</v>
      </c>
      <c r="K52" s="46"/>
    </row>
    <row r="53" spans="1:11" ht="19.5" x14ac:dyDescent="0.2">
      <c r="A53" s="187" t="s">
        <v>247</v>
      </c>
      <c r="B53" s="253" t="s">
        <v>495</v>
      </c>
      <c r="C53" s="189" t="s">
        <v>217</v>
      </c>
      <c r="D53" s="191" t="s">
        <v>217</v>
      </c>
      <c r="E53" s="189" t="s">
        <v>217</v>
      </c>
      <c r="F53" s="190" t="s">
        <v>217</v>
      </c>
      <c r="G53" s="191" t="s">
        <v>217</v>
      </c>
      <c r="H53" s="191" t="s">
        <v>217</v>
      </c>
      <c r="I53" s="192" t="s">
        <v>217</v>
      </c>
      <c r="J53" s="193" t="s">
        <v>217</v>
      </c>
      <c r="K53" s="193" t="s">
        <v>217</v>
      </c>
    </row>
    <row r="54" spans="1:11" ht="19.5" x14ac:dyDescent="0.2">
      <c r="A54" s="254" t="s">
        <v>246</v>
      </c>
      <c r="B54" s="255" t="s">
        <v>245</v>
      </c>
      <c r="C54" s="256">
        <v>563</v>
      </c>
      <c r="D54" s="256">
        <v>577</v>
      </c>
      <c r="E54" s="318">
        <v>577</v>
      </c>
      <c r="F54" s="318">
        <v>579</v>
      </c>
      <c r="G54" s="318">
        <v>582</v>
      </c>
      <c r="H54" s="318">
        <v>585</v>
      </c>
      <c r="I54" s="257">
        <f t="shared" ref="I54:I77" si="14">H54-D54</f>
        <v>8</v>
      </c>
      <c r="J54" s="123">
        <f t="shared" ref="J54:J77" si="15">IFERROR(I54/ABS(D54), "-")</f>
        <v>1.3864818024263431E-2</v>
      </c>
      <c r="K54" s="102"/>
    </row>
    <row r="55" spans="1:11" ht="22.5" x14ac:dyDescent="0.2">
      <c r="A55" s="218" t="s">
        <v>244</v>
      </c>
      <c r="B55" s="258" t="s">
        <v>520</v>
      </c>
      <c r="C55" s="41">
        <v>108.33333333333333</v>
      </c>
      <c r="D55" s="4">
        <v>111</v>
      </c>
      <c r="E55" s="319">
        <v>111</v>
      </c>
      <c r="F55" s="320">
        <v>111</v>
      </c>
      <c r="G55" s="320">
        <v>111</v>
      </c>
      <c r="H55" s="320">
        <v>112</v>
      </c>
      <c r="I55" s="220">
        <f t="shared" si="14"/>
        <v>1</v>
      </c>
      <c r="J55" s="204">
        <f t="shared" si="15"/>
        <v>9.0090090090090089E-3</v>
      </c>
      <c r="K55" s="323"/>
    </row>
    <row r="56" spans="1:11" ht="22.5" x14ac:dyDescent="0.2">
      <c r="A56" s="218" t="s">
        <v>243</v>
      </c>
      <c r="B56" s="258" t="s">
        <v>521</v>
      </c>
      <c r="C56" s="41">
        <v>190</v>
      </c>
      <c r="D56" s="41">
        <v>195</v>
      </c>
      <c r="E56" s="319">
        <v>193</v>
      </c>
      <c r="F56" s="321">
        <v>194</v>
      </c>
      <c r="G56" s="321">
        <v>196</v>
      </c>
      <c r="H56" s="321">
        <v>197</v>
      </c>
      <c r="I56" s="186">
        <f t="shared" si="14"/>
        <v>2</v>
      </c>
      <c r="J56" s="204">
        <f t="shared" si="15"/>
        <v>1.0256410256410256E-2</v>
      </c>
      <c r="K56" s="46"/>
    </row>
    <row r="57" spans="1:11" ht="41.25" x14ac:dyDescent="0.2">
      <c r="A57" s="218" t="s">
        <v>242</v>
      </c>
      <c r="B57" s="259" t="s">
        <v>522</v>
      </c>
      <c r="C57" s="101">
        <v>46.1</v>
      </c>
      <c r="D57" s="41">
        <v>45</v>
      </c>
      <c r="E57" s="322">
        <v>46</v>
      </c>
      <c r="F57" s="321">
        <v>46</v>
      </c>
      <c r="G57" s="321">
        <v>46</v>
      </c>
      <c r="H57" s="321">
        <v>46</v>
      </c>
      <c r="I57" s="186">
        <f t="shared" si="14"/>
        <v>1</v>
      </c>
      <c r="J57" s="204">
        <f t="shared" si="15"/>
        <v>2.2222222222222223E-2</v>
      </c>
      <c r="K57" s="46"/>
    </row>
    <row r="58" spans="1:11" ht="22.5" x14ac:dyDescent="0.2">
      <c r="A58" s="218" t="s">
        <v>241</v>
      </c>
      <c r="B58" s="259" t="s">
        <v>523</v>
      </c>
      <c r="C58" s="101">
        <v>35.5</v>
      </c>
      <c r="D58" s="41">
        <v>35</v>
      </c>
      <c r="E58" s="322">
        <v>36</v>
      </c>
      <c r="F58" s="321">
        <v>36</v>
      </c>
      <c r="G58" s="321">
        <v>36</v>
      </c>
      <c r="H58" s="321">
        <v>36</v>
      </c>
      <c r="I58" s="186">
        <f t="shared" si="14"/>
        <v>1</v>
      </c>
      <c r="J58" s="204">
        <f t="shared" si="15"/>
        <v>2.8571428571428571E-2</v>
      </c>
      <c r="K58" s="317"/>
    </row>
    <row r="59" spans="1:11" ht="22.5" x14ac:dyDescent="0.2">
      <c r="A59" s="218" t="s">
        <v>240</v>
      </c>
      <c r="B59" s="259" t="s">
        <v>524</v>
      </c>
      <c r="C59" s="101">
        <v>182.66666666666666</v>
      </c>
      <c r="D59" s="41">
        <v>191</v>
      </c>
      <c r="E59" s="322">
        <v>191</v>
      </c>
      <c r="F59" s="321">
        <v>192</v>
      </c>
      <c r="G59" s="321">
        <v>193</v>
      </c>
      <c r="H59" s="321">
        <v>194</v>
      </c>
      <c r="I59" s="186">
        <f t="shared" si="14"/>
        <v>3</v>
      </c>
      <c r="J59" s="204">
        <f t="shared" si="15"/>
        <v>1.5706806282722512E-2</v>
      </c>
      <c r="K59" s="46"/>
    </row>
    <row r="60" spans="1:11" ht="37.5" x14ac:dyDescent="0.2">
      <c r="A60" s="254" t="s">
        <v>239</v>
      </c>
      <c r="B60" s="260" t="s">
        <v>238</v>
      </c>
      <c r="C60" s="256">
        <v>1660</v>
      </c>
      <c r="D60" s="256">
        <v>1715.43</v>
      </c>
      <c r="E60" s="318">
        <v>1598</v>
      </c>
      <c r="F60" s="318">
        <v>1822</v>
      </c>
      <c r="G60" s="318">
        <v>1762</v>
      </c>
      <c r="H60" s="318">
        <v>1708</v>
      </c>
      <c r="I60" s="257">
        <f>IFERROR(H60-D60, "-")</f>
        <v>-7.4300000000000637</v>
      </c>
      <c r="J60" s="123">
        <f t="shared" si="15"/>
        <v>-4.3312755402435911E-3</v>
      </c>
      <c r="K60" s="102"/>
    </row>
    <row r="61" spans="1:11" ht="22.5" x14ac:dyDescent="0.2">
      <c r="A61" s="218" t="s">
        <v>237</v>
      </c>
      <c r="B61" s="258" t="s">
        <v>520</v>
      </c>
      <c r="C61" s="41">
        <v>2739</v>
      </c>
      <c r="D61" s="4">
        <v>2732.31</v>
      </c>
      <c r="E61" s="319">
        <v>2546</v>
      </c>
      <c r="F61" s="321">
        <v>2852</v>
      </c>
      <c r="G61" s="320">
        <v>2825</v>
      </c>
      <c r="H61" s="321">
        <v>2711</v>
      </c>
      <c r="I61" s="186">
        <f t="shared" si="14"/>
        <v>-21.309999999999945</v>
      </c>
      <c r="J61" s="204">
        <f t="shared" si="15"/>
        <v>-7.7992614308039516E-3</v>
      </c>
      <c r="K61" s="317"/>
    </row>
    <row r="62" spans="1:11" ht="22.5" x14ac:dyDescent="0.2">
      <c r="A62" s="218" t="s">
        <v>236</v>
      </c>
      <c r="B62" s="258" t="s">
        <v>521</v>
      </c>
      <c r="C62" s="41">
        <v>1638</v>
      </c>
      <c r="D62" s="4">
        <v>1683.69</v>
      </c>
      <c r="E62" s="319">
        <v>1499</v>
      </c>
      <c r="F62" s="321">
        <v>1811</v>
      </c>
      <c r="G62" s="320">
        <v>1703</v>
      </c>
      <c r="H62" s="321">
        <v>1621</v>
      </c>
      <c r="I62" s="186">
        <f t="shared" si="14"/>
        <v>-62.690000000000055</v>
      </c>
      <c r="J62" s="204">
        <f t="shared" si="15"/>
        <v>-3.7233695038872985E-2</v>
      </c>
      <c r="K62" s="317"/>
    </row>
    <row r="63" spans="1:11" ht="41.25" x14ac:dyDescent="0.2">
      <c r="A63" s="218" t="s">
        <v>235</v>
      </c>
      <c r="B63" s="259" t="s">
        <v>522</v>
      </c>
      <c r="C63" s="101">
        <v>963</v>
      </c>
      <c r="D63" s="4">
        <v>1020.0549999999999</v>
      </c>
      <c r="E63" s="322">
        <v>913</v>
      </c>
      <c r="F63" s="321">
        <v>1169</v>
      </c>
      <c r="G63" s="320">
        <v>1068</v>
      </c>
      <c r="H63" s="321">
        <v>971</v>
      </c>
      <c r="I63" s="186">
        <f t="shared" si="14"/>
        <v>-49.05499999999995</v>
      </c>
      <c r="J63" s="204">
        <f t="shared" si="15"/>
        <v>-4.8090544137325879E-2</v>
      </c>
      <c r="K63" s="317"/>
    </row>
    <row r="64" spans="1:11" ht="22.5" x14ac:dyDescent="0.2">
      <c r="A64" s="218" t="s">
        <v>234</v>
      </c>
      <c r="B64" s="259" t="s">
        <v>523</v>
      </c>
      <c r="C64" s="101">
        <v>2311</v>
      </c>
      <c r="D64" s="4">
        <v>2223.71</v>
      </c>
      <c r="E64" s="322">
        <v>2060</v>
      </c>
      <c r="F64" s="321">
        <v>2146</v>
      </c>
      <c r="G64" s="320">
        <v>2146</v>
      </c>
      <c r="H64" s="321">
        <v>2224</v>
      </c>
      <c r="I64" s="186">
        <f t="shared" si="14"/>
        <v>0.28999999999996362</v>
      </c>
      <c r="J64" s="204">
        <f t="shared" si="15"/>
        <v>1.3041268870489571E-4</v>
      </c>
      <c r="K64" s="317"/>
    </row>
    <row r="65" spans="1:11" ht="22.5" x14ac:dyDescent="0.2">
      <c r="A65" s="218" t="s">
        <v>233</v>
      </c>
      <c r="B65" s="259" t="s">
        <v>524</v>
      </c>
      <c r="C65" s="101">
        <v>1020</v>
      </c>
      <c r="D65" s="4">
        <v>1047.94</v>
      </c>
      <c r="E65" s="322">
        <v>972</v>
      </c>
      <c r="F65" s="321">
        <v>1133</v>
      </c>
      <c r="G65" s="320">
        <v>1067</v>
      </c>
      <c r="H65" s="321">
        <v>1012</v>
      </c>
      <c r="I65" s="186">
        <f t="shared" si="14"/>
        <v>-35.940000000000055</v>
      </c>
      <c r="J65" s="204">
        <f t="shared" si="15"/>
        <v>-3.4295856633013391E-2</v>
      </c>
      <c r="K65" s="317"/>
    </row>
    <row r="66" spans="1:11" ht="19.5" x14ac:dyDescent="0.2">
      <c r="A66" s="254" t="s">
        <v>232</v>
      </c>
      <c r="B66" s="255" t="s">
        <v>231</v>
      </c>
      <c r="C66" s="256">
        <v>569</v>
      </c>
      <c r="D66" s="256">
        <v>577</v>
      </c>
      <c r="E66" s="318">
        <v>583</v>
      </c>
      <c r="F66" s="318">
        <v>583</v>
      </c>
      <c r="G66" s="318">
        <v>583</v>
      </c>
      <c r="H66" s="318">
        <v>585</v>
      </c>
      <c r="I66" s="257">
        <f t="shared" si="14"/>
        <v>8</v>
      </c>
      <c r="J66" s="123">
        <f t="shared" si="15"/>
        <v>1.3864818024263431E-2</v>
      </c>
      <c r="K66" s="102"/>
    </row>
    <row r="67" spans="1:11" ht="22.5" x14ac:dyDescent="0.2">
      <c r="A67" s="218" t="s">
        <v>230</v>
      </c>
      <c r="B67" s="258" t="s">
        <v>520</v>
      </c>
      <c r="C67" s="41">
        <v>116</v>
      </c>
      <c r="D67" s="4">
        <v>115</v>
      </c>
      <c r="E67" s="319">
        <v>115</v>
      </c>
      <c r="F67" s="320">
        <v>115</v>
      </c>
      <c r="G67" s="320">
        <v>115</v>
      </c>
      <c r="H67" s="320">
        <v>117</v>
      </c>
      <c r="I67" s="220">
        <f t="shared" si="14"/>
        <v>2</v>
      </c>
      <c r="J67" s="204">
        <f t="shared" si="15"/>
        <v>1.7391304347826087E-2</v>
      </c>
      <c r="K67" s="47"/>
    </row>
    <row r="68" spans="1:11" ht="22.5" x14ac:dyDescent="0.2">
      <c r="A68" s="218" t="s">
        <v>229</v>
      </c>
      <c r="B68" s="258" t="s">
        <v>521</v>
      </c>
      <c r="C68" s="41">
        <v>186</v>
      </c>
      <c r="D68" s="41">
        <v>187</v>
      </c>
      <c r="E68" s="319">
        <v>190</v>
      </c>
      <c r="F68" s="321">
        <v>190</v>
      </c>
      <c r="G68" s="321">
        <v>190</v>
      </c>
      <c r="H68" s="321">
        <v>190</v>
      </c>
      <c r="I68" s="186">
        <f t="shared" si="14"/>
        <v>3</v>
      </c>
      <c r="J68" s="204">
        <f t="shared" si="15"/>
        <v>1.6042780748663103E-2</v>
      </c>
      <c r="K68" s="46"/>
    </row>
    <row r="69" spans="1:11" ht="41.25" x14ac:dyDescent="0.2">
      <c r="A69" s="218" t="s">
        <v>228</v>
      </c>
      <c r="B69" s="259" t="s">
        <v>522</v>
      </c>
      <c r="C69" s="101">
        <v>43</v>
      </c>
      <c r="D69" s="41">
        <v>45</v>
      </c>
      <c r="E69" s="322">
        <v>46</v>
      </c>
      <c r="F69" s="321">
        <v>46</v>
      </c>
      <c r="G69" s="321">
        <v>46</v>
      </c>
      <c r="H69" s="321">
        <v>46</v>
      </c>
      <c r="I69" s="186">
        <f t="shared" si="14"/>
        <v>1</v>
      </c>
      <c r="J69" s="204">
        <f t="shared" si="15"/>
        <v>2.2222222222222223E-2</v>
      </c>
      <c r="K69" s="46"/>
    </row>
    <row r="70" spans="1:11" ht="22.5" x14ac:dyDescent="0.2">
      <c r="A70" s="218" t="s">
        <v>227</v>
      </c>
      <c r="B70" s="259" t="s">
        <v>523</v>
      </c>
      <c r="C70" s="101">
        <v>36</v>
      </c>
      <c r="D70" s="41">
        <v>36</v>
      </c>
      <c r="E70" s="322">
        <v>36</v>
      </c>
      <c r="F70" s="321">
        <v>36</v>
      </c>
      <c r="G70" s="321">
        <v>36</v>
      </c>
      <c r="H70" s="321">
        <v>36</v>
      </c>
      <c r="I70" s="186">
        <f t="shared" si="14"/>
        <v>0</v>
      </c>
      <c r="J70" s="204">
        <f t="shared" si="15"/>
        <v>0</v>
      </c>
      <c r="K70" s="317"/>
    </row>
    <row r="71" spans="1:11" ht="22.5" x14ac:dyDescent="0.2">
      <c r="A71" s="218" t="s">
        <v>226</v>
      </c>
      <c r="B71" s="259" t="s">
        <v>524</v>
      </c>
      <c r="C71" s="101">
        <v>188</v>
      </c>
      <c r="D71" s="41">
        <v>194</v>
      </c>
      <c r="E71" s="322">
        <v>196</v>
      </c>
      <c r="F71" s="321">
        <v>196</v>
      </c>
      <c r="G71" s="321">
        <v>196</v>
      </c>
      <c r="H71" s="321">
        <v>196</v>
      </c>
      <c r="I71" s="186">
        <f t="shared" si="14"/>
        <v>2</v>
      </c>
      <c r="J71" s="204">
        <f t="shared" si="15"/>
        <v>1.0309278350515464E-2</v>
      </c>
      <c r="K71" s="46"/>
    </row>
    <row r="72" spans="1:11" ht="19.5" x14ac:dyDescent="0.2">
      <c r="A72" s="254" t="s">
        <v>225</v>
      </c>
      <c r="B72" s="255" t="s">
        <v>525</v>
      </c>
      <c r="C72" s="256">
        <v>1634</v>
      </c>
      <c r="D72" s="256">
        <v>1715.43</v>
      </c>
      <c r="E72" s="318">
        <v>1597</v>
      </c>
      <c r="F72" s="318">
        <v>1814</v>
      </c>
      <c r="G72" s="318">
        <v>1767</v>
      </c>
      <c r="H72" s="318">
        <v>1701</v>
      </c>
      <c r="I72" s="257">
        <f>IFERROR(H72-D72, "-")</f>
        <v>-14.430000000000064</v>
      </c>
      <c r="J72" s="123">
        <f t="shared" si="15"/>
        <v>-8.4118850667180018E-3</v>
      </c>
      <c r="K72" s="103"/>
    </row>
    <row r="73" spans="1:11" ht="22.5" x14ac:dyDescent="0.2">
      <c r="A73" s="218" t="s">
        <v>224</v>
      </c>
      <c r="B73" s="258" t="s">
        <v>520</v>
      </c>
      <c r="C73" s="41">
        <v>2550</v>
      </c>
      <c r="D73" s="4">
        <v>2637.27</v>
      </c>
      <c r="E73" s="319">
        <v>2529</v>
      </c>
      <c r="F73" s="320">
        <v>2858</v>
      </c>
      <c r="G73" s="320">
        <v>2748</v>
      </c>
      <c r="H73" s="320">
        <v>2693</v>
      </c>
      <c r="I73" s="220">
        <f t="shared" si="14"/>
        <v>55.730000000000018</v>
      </c>
      <c r="J73" s="204">
        <f t="shared" si="15"/>
        <v>2.1131700584316366E-2</v>
      </c>
      <c r="K73" s="323"/>
    </row>
    <row r="74" spans="1:11" ht="22.5" x14ac:dyDescent="0.2">
      <c r="A74" s="218" t="s">
        <v>223</v>
      </c>
      <c r="B74" s="258" t="s">
        <v>521</v>
      </c>
      <c r="C74" s="41">
        <v>1656</v>
      </c>
      <c r="D74" s="41">
        <v>1755.71</v>
      </c>
      <c r="E74" s="319">
        <v>1505</v>
      </c>
      <c r="F74" s="321">
        <v>1797</v>
      </c>
      <c r="G74" s="321">
        <v>1823</v>
      </c>
      <c r="H74" s="321">
        <v>1665</v>
      </c>
      <c r="I74" s="186">
        <f t="shared" si="14"/>
        <v>-90.710000000000036</v>
      </c>
      <c r="J74" s="204">
        <f t="shared" si="15"/>
        <v>-5.1665707890255243E-2</v>
      </c>
      <c r="K74" s="317"/>
    </row>
    <row r="75" spans="1:11" ht="41.25" x14ac:dyDescent="0.2">
      <c r="A75" s="218" t="s">
        <v>222</v>
      </c>
      <c r="B75" s="259" t="s">
        <v>522</v>
      </c>
      <c r="C75" s="101">
        <v>1062</v>
      </c>
      <c r="D75" s="41">
        <v>1020.0549999999999</v>
      </c>
      <c r="E75" s="322">
        <v>907</v>
      </c>
      <c r="F75" s="321">
        <v>1197</v>
      </c>
      <c r="G75" s="321">
        <v>1054</v>
      </c>
      <c r="H75" s="321">
        <v>963</v>
      </c>
      <c r="I75" s="186">
        <f t="shared" si="14"/>
        <v>-57.05499999999995</v>
      </c>
      <c r="J75" s="204">
        <f t="shared" si="15"/>
        <v>-5.5933258500767066E-2</v>
      </c>
      <c r="K75" s="317"/>
    </row>
    <row r="76" spans="1:11" ht="22.5" x14ac:dyDescent="0.2">
      <c r="A76" s="218" t="s">
        <v>221</v>
      </c>
      <c r="B76" s="259" t="s">
        <v>523</v>
      </c>
      <c r="C76" s="101">
        <v>2311</v>
      </c>
      <c r="D76" s="41">
        <v>2161.9430000000002</v>
      </c>
      <c r="E76" s="322">
        <v>2082</v>
      </c>
      <c r="F76" s="321">
        <v>2086</v>
      </c>
      <c r="G76" s="321">
        <v>2164</v>
      </c>
      <c r="H76" s="321">
        <v>2183</v>
      </c>
      <c r="I76" s="186">
        <f t="shared" si="14"/>
        <v>21.056999999999789</v>
      </c>
      <c r="J76" s="204">
        <f t="shared" si="15"/>
        <v>9.739849755520745E-3</v>
      </c>
      <c r="K76" s="317"/>
    </row>
    <row r="77" spans="1:11" ht="22.5" x14ac:dyDescent="0.2">
      <c r="A77" s="218" t="s">
        <v>220</v>
      </c>
      <c r="B77" s="259" t="s">
        <v>524</v>
      </c>
      <c r="C77" s="101">
        <v>998</v>
      </c>
      <c r="D77" s="41">
        <v>1031.7360000000001</v>
      </c>
      <c r="E77" s="322">
        <v>963</v>
      </c>
      <c r="F77" s="321">
        <v>1131</v>
      </c>
      <c r="G77" s="321">
        <v>1044</v>
      </c>
      <c r="H77" s="321">
        <v>999</v>
      </c>
      <c r="I77" s="186">
        <f t="shared" si="14"/>
        <v>-32.736000000000104</v>
      </c>
      <c r="J77" s="204">
        <f t="shared" si="15"/>
        <v>-3.1729046965502904E-2</v>
      </c>
      <c r="K77" s="317"/>
    </row>
    <row r="78" spans="1:11" ht="19.5" x14ac:dyDescent="0.2">
      <c r="A78" s="261" t="s">
        <v>496</v>
      </c>
      <c r="B78" s="262" t="s">
        <v>497</v>
      </c>
      <c r="C78" s="189" t="s">
        <v>217</v>
      </c>
      <c r="D78" s="191" t="s">
        <v>217</v>
      </c>
      <c r="E78" s="189" t="s">
        <v>217</v>
      </c>
      <c r="F78" s="190" t="s">
        <v>217</v>
      </c>
      <c r="G78" s="191" t="s">
        <v>217</v>
      </c>
      <c r="H78" s="191" t="s">
        <v>217</v>
      </c>
      <c r="I78" s="192" t="s">
        <v>217</v>
      </c>
      <c r="J78" s="193" t="s">
        <v>217</v>
      </c>
      <c r="K78" s="263" t="s">
        <v>217</v>
      </c>
    </row>
    <row r="79" spans="1:11" x14ac:dyDescent="0.2">
      <c r="A79" s="218" t="s">
        <v>498</v>
      </c>
      <c r="B79" s="259" t="s">
        <v>499</v>
      </c>
      <c r="C79" s="395">
        <v>16</v>
      </c>
      <c r="D79" s="41">
        <v>15</v>
      </c>
      <c r="E79" s="104">
        <v>4</v>
      </c>
      <c r="F79" s="45">
        <v>7.5</v>
      </c>
      <c r="G79" s="37">
        <v>13</v>
      </c>
      <c r="H79" s="37">
        <v>16</v>
      </c>
      <c r="I79" s="264">
        <f t="shared" ref="I79:I82" si="16">H79-D79</f>
        <v>1</v>
      </c>
      <c r="J79" s="204">
        <f t="shared" ref="J79:J82" si="17">IFERROR(I79/ABS(D79), "-")</f>
        <v>6.6666666666666666E-2</v>
      </c>
      <c r="K79" s="317"/>
    </row>
    <row r="80" spans="1:11" ht="150" x14ac:dyDescent="0.2">
      <c r="A80" s="218" t="s">
        <v>500</v>
      </c>
      <c r="B80" s="259" t="s">
        <v>501</v>
      </c>
      <c r="C80" s="395">
        <v>47</v>
      </c>
      <c r="D80" s="234">
        <v>53.06</v>
      </c>
      <c r="E80" s="104">
        <v>29</v>
      </c>
      <c r="F80" s="45">
        <v>26</v>
      </c>
      <c r="G80" s="37">
        <v>31</v>
      </c>
      <c r="H80" s="37">
        <v>31</v>
      </c>
      <c r="I80" s="264">
        <f t="shared" si="16"/>
        <v>-22.060000000000002</v>
      </c>
      <c r="J80" s="204">
        <f>IFERROR(I80/ABS(D80), "-")</f>
        <v>-0.41575574820957412</v>
      </c>
      <c r="K80" s="429" t="s">
        <v>647</v>
      </c>
    </row>
    <row r="81" spans="1:11" ht="56.25" x14ac:dyDescent="0.2">
      <c r="A81" s="218" t="s">
        <v>502</v>
      </c>
      <c r="B81" s="259" t="s">
        <v>591</v>
      </c>
      <c r="C81" s="395">
        <v>23</v>
      </c>
      <c r="D81" s="41">
        <v>23</v>
      </c>
      <c r="E81" s="104">
        <v>22.8</v>
      </c>
      <c r="F81" s="45">
        <v>23</v>
      </c>
      <c r="G81" s="37">
        <v>23</v>
      </c>
      <c r="H81" s="37">
        <v>23</v>
      </c>
      <c r="I81" s="264">
        <f t="shared" si="16"/>
        <v>0</v>
      </c>
      <c r="J81" s="204">
        <f t="shared" si="17"/>
        <v>0</v>
      </c>
      <c r="K81" s="46"/>
    </row>
    <row r="82" spans="1:11" ht="56.25" x14ac:dyDescent="0.2">
      <c r="A82" s="218" t="s">
        <v>503</v>
      </c>
      <c r="B82" s="259" t="s">
        <v>504</v>
      </c>
      <c r="C82" s="395">
        <v>39</v>
      </c>
      <c r="D82" s="41">
        <v>41</v>
      </c>
      <c r="E82" s="104">
        <v>40</v>
      </c>
      <c r="F82" s="45">
        <v>40</v>
      </c>
      <c r="G82" s="37">
        <v>40</v>
      </c>
      <c r="H82" s="37">
        <v>41</v>
      </c>
      <c r="I82" s="264">
        <f t="shared" si="16"/>
        <v>0</v>
      </c>
      <c r="J82" s="204">
        <f t="shared" si="17"/>
        <v>0</v>
      </c>
      <c r="K82" s="46"/>
    </row>
    <row r="83" spans="1:11" ht="19.5" x14ac:dyDescent="0.2">
      <c r="A83" s="254" t="s">
        <v>219</v>
      </c>
      <c r="B83" s="255" t="s">
        <v>505</v>
      </c>
      <c r="C83" s="189" t="s">
        <v>217</v>
      </c>
      <c r="D83" s="191" t="s">
        <v>217</v>
      </c>
      <c r="E83" s="189" t="s">
        <v>217</v>
      </c>
      <c r="F83" s="190" t="s">
        <v>217</v>
      </c>
      <c r="G83" s="191" t="s">
        <v>217</v>
      </c>
      <c r="H83" s="191" t="s">
        <v>217</v>
      </c>
      <c r="I83" s="192" t="s">
        <v>217</v>
      </c>
      <c r="J83" s="193" t="s">
        <v>217</v>
      </c>
      <c r="K83" s="193" t="s">
        <v>217</v>
      </c>
    </row>
    <row r="84" spans="1:11" ht="22.5" x14ac:dyDescent="0.2">
      <c r="A84" s="222" t="s">
        <v>218</v>
      </c>
      <c r="B84" s="223" t="s">
        <v>526</v>
      </c>
      <c r="C84" s="232">
        <v>26842.3</v>
      </c>
      <c r="D84" s="234">
        <v>26842</v>
      </c>
      <c r="E84" s="280">
        <v>26842</v>
      </c>
      <c r="F84" s="280">
        <v>26842</v>
      </c>
      <c r="G84" s="280">
        <v>26842</v>
      </c>
      <c r="H84" s="280">
        <v>26842</v>
      </c>
      <c r="I84" s="265">
        <f t="shared" ref="I84:I89" si="18">H84-D84</f>
        <v>0</v>
      </c>
      <c r="J84" s="227">
        <f t="shared" ref="J84:J89" si="19">IFERROR(I84/ABS(D84), "-")</f>
        <v>0</v>
      </c>
      <c r="K84" s="236"/>
    </row>
    <row r="85" spans="1:11" ht="37.5" x14ac:dyDescent="0.2">
      <c r="A85" s="222" t="s">
        <v>599</v>
      </c>
      <c r="B85" s="266" t="s">
        <v>361</v>
      </c>
      <c r="C85" s="232">
        <v>7361</v>
      </c>
      <c r="D85" s="234">
        <v>7361</v>
      </c>
      <c r="E85" s="281">
        <v>7361</v>
      </c>
      <c r="F85" s="281">
        <v>7361</v>
      </c>
      <c r="G85" s="281">
        <v>7361</v>
      </c>
      <c r="H85" s="281">
        <v>7361</v>
      </c>
      <c r="I85" s="265">
        <f t="shared" si="18"/>
        <v>0</v>
      </c>
      <c r="J85" s="227">
        <f>IFERROR(I85/ABS(D85), "-")</f>
        <v>0</v>
      </c>
      <c r="K85" s="236"/>
    </row>
    <row r="86" spans="1:11" x14ac:dyDescent="0.2">
      <c r="A86" s="222" t="s">
        <v>598</v>
      </c>
      <c r="B86" s="267" t="s">
        <v>214</v>
      </c>
      <c r="C86" s="232">
        <v>4280023</v>
      </c>
      <c r="D86" s="233">
        <v>4069230</v>
      </c>
      <c r="E86" s="232">
        <f>1732020*1.03</f>
        <v>1783980.6</v>
      </c>
      <c r="F86" s="233">
        <f>2438480*1.03</f>
        <v>2511634.4</v>
      </c>
      <c r="G86" s="233">
        <f>2708700*1.03</f>
        <v>2789961</v>
      </c>
      <c r="H86" s="234">
        <f>4069230*1.03</f>
        <v>4191306.9</v>
      </c>
      <c r="I86" s="235">
        <f t="shared" si="18"/>
        <v>122076.89999999991</v>
      </c>
      <c r="J86" s="227">
        <f t="shared" si="19"/>
        <v>2.9999999999999978E-2</v>
      </c>
      <c r="K86" s="317"/>
    </row>
    <row r="87" spans="1:11" x14ac:dyDescent="0.2">
      <c r="A87" s="222" t="s">
        <v>600</v>
      </c>
      <c r="B87" s="267" t="s">
        <v>213</v>
      </c>
      <c r="C87" s="232">
        <v>1905860.0000000002</v>
      </c>
      <c r="D87" s="233">
        <v>1881667</v>
      </c>
      <c r="E87" s="232">
        <f>482441*1.03</f>
        <v>496914.23000000004</v>
      </c>
      <c r="F87" s="233">
        <f>925716*1.03</f>
        <v>953487.48</v>
      </c>
      <c r="G87" s="233">
        <f>1394671*1.03</f>
        <v>1436511.1300000001</v>
      </c>
      <c r="H87" s="234">
        <f>1881667*1.03</f>
        <v>1938117.01</v>
      </c>
      <c r="I87" s="235">
        <f t="shared" si="18"/>
        <v>56450.010000000009</v>
      </c>
      <c r="J87" s="227">
        <f t="shared" si="19"/>
        <v>3.0000000000000006E-2</v>
      </c>
      <c r="K87" s="317"/>
    </row>
    <row r="88" spans="1:11" ht="22.5" x14ac:dyDescent="0.2">
      <c r="A88" s="222" t="s">
        <v>216</v>
      </c>
      <c r="B88" s="267" t="s">
        <v>527</v>
      </c>
      <c r="C88" s="232">
        <v>18550</v>
      </c>
      <c r="D88" s="233">
        <v>16656</v>
      </c>
      <c r="E88" s="232">
        <f>4678*1.03</f>
        <v>4818.34</v>
      </c>
      <c r="F88" s="233">
        <f>9337.71*1.03</f>
        <v>9617.8413</v>
      </c>
      <c r="G88" s="233">
        <f>13047*1.03</f>
        <v>13438.41</v>
      </c>
      <c r="H88" s="234">
        <f>16656*1.03</f>
        <v>17155.68</v>
      </c>
      <c r="I88" s="235">
        <f t="shared" si="18"/>
        <v>499.68000000000029</v>
      </c>
      <c r="J88" s="227">
        <f t="shared" si="19"/>
        <v>3.0000000000000016E-2</v>
      </c>
      <c r="K88" s="236"/>
    </row>
    <row r="89" spans="1:11" ht="22.5" x14ac:dyDescent="0.2">
      <c r="A89" s="222" t="s">
        <v>215</v>
      </c>
      <c r="B89" s="267" t="s">
        <v>528</v>
      </c>
      <c r="C89" s="232">
        <v>19854.04</v>
      </c>
      <c r="D89" s="233">
        <v>17960.039999999997</v>
      </c>
      <c r="E89" s="232">
        <f>5004.01*1.03</f>
        <v>5154.1303000000007</v>
      </c>
      <c r="F89" s="233">
        <f>9989.73*1.03</f>
        <v>10289.421899999999</v>
      </c>
      <c r="G89" s="233">
        <f>14025.03*1.03</f>
        <v>14445.780900000002</v>
      </c>
      <c r="H89" s="234">
        <f>17960.04*1.03</f>
        <v>18498.841200000003</v>
      </c>
      <c r="I89" s="235">
        <f t="shared" si="18"/>
        <v>538.80120000000534</v>
      </c>
      <c r="J89" s="227">
        <f t="shared" si="19"/>
        <v>3.0000000000000301E-2</v>
      </c>
      <c r="K89" s="236"/>
    </row>
    <row r="90" spans="1:11" ht="37.5" x14ac:dyDescent="0.2">
      <c r="A90" s="261" t="s">
        <v>506</v>
      </c>
      <c r="B90" s="268" t="s">
        <v>507</v>
      </c>
      <c r="C90" s="189" t="s">
        <v>217</v>
      </c>
      <c r="D90" s="191" t="s">
        <v>217</v>
      </c>
      <c r="E90" s="189" t="s">
        <v>217</v>
      </c>
      <c r="F90" s="190" t="s">
        <v>217</v>
      </c>
      <c r="G90" s="191" t="s">
        <v>217</v>
      </c>
      <c r="H90" s="191" t="s">
        <v>217</v>
      </c>
      <c r="I90" s="192" t="s">
        <v>217</v>
      </c>
      <c r="J90" s="193" t="s">
        <v>217</v>
      </c>
      <c r="K90" s="263" t="s">
        <v>217</v>
      </c>
    </row>
    <row r="91" spans="1:11" ht="41.25" x14ac:dyDescent="0.2">
      <c r="A91" s="222" t="s">
        <v>508</v>
      </c>
      <c r="B91" s="267" t="s">
        <v>529</v>
      </c>
      <c r="C91" s="232"/>
      <c r="D91" s="233"/>
      <c r="E91" s="224"/>
      <c r="F91" s="225"/>
      <c r="G91" s="225"/>
      <c r="H91" s="269"/>
      <c r="I91" s="226">
        <f>H91-D91</f>
        <v>0</v>
      </c>
      <c r="J91" s="227" t="str">
        <f>IFERROR(I91/ABS(D91), "-")</f>
        <v>-</v>
      </c>
      <c r="K91" s="236"/>
    </row>
    <row r="92" spans="1:11" x14ac:dyDescent="0.2">
      <c r="A92" s="270"/>
      <c r="B92" s="271"/>
      <c r="C92" s="272"/>
      <c r="D92" s="273"/>
      <c r="E92" s="272"/>
      <c r="F92" s="273"/>
      <c r="G92" s="273"/>
      <c r="H92" s="274"/>
      <c r="I92" s="275"/>
      <c r="J92" s="275"/>
      <c r="K92" s="276"/>
    </row>
    <row r="93" spans="1:11" s="277" customFormat="1" x14ac:dyDescent="0.2">
      <c r="A93" s="448" t="s">
        <v>530</v>
      </c>
      <c r="B93" s="448"/>
      <c r="C93" s="448"/>
      <c r="D93" s="448"/>
      <c r="E93" s="448"/>
      <c r="F93" s="448"/>
      <c r="G93" s="448"/>
      <c r="H93" s="448"/>
      <c r="I93" s="448"/>
      <c r="J93" s="448"/>
      <c r="K93" s="448"/>
    </row>
    <row r="94" spans="1:11" s="277" customFormat="1" ht="18.75" customHeight="1" x14ac:dyDescent="0.2">
      <c r="A94" s="448" t="s">
        <v>531</v>
      </c>
      <c r="B94" s="448"/>
      <c r="C94" s="448"/>
      <c r="D94" s="448"/>
      <c r="E94" s="448"/>
      <c r="F94" s="448"/>
      <c r="G94" s="448"/>
      <c r="H94" s="448"/>
      <c r="I94" s="448"/>
      <c r="J94" s="448"/>
      <c r="K94" s="448"/>
    </row>
    <row r="95" spans="1:11" s="277" customFormat="1" ht="18" customHeight="1" x14ac:dyDescent="0.2">
      <c r="A95" s="448" t="s">
        <v>532</v>
      </c>
      <c r="B95" s="448"/>
      <c r="C95" s="448"/>
      <c r="D95" s="448"/>
      <c r="E95" s="448"/>
      <c r="F95" s="448"/>
      <c r="G95" s="448"/>
      <c r="H95" s="448"/>
      <c r="I95" s="448"/>
      <c r="J95" s="448"/>
      <c r="K95" s="448"/>
    </row>
    <row r="96" spans="1:11" s="277" customFormat="1" ht="21.75" customHeight="1" x14ac:dyDescent="0.2">
      <c r="A96" s="448" t="s">
        <v>533</v>
      </c>
      <c r="B96" s="448"/>
      <c r="C96" s="448"/>
      <c r="D96" s="448"/>
      <c r="E96" s="448"/>
      <c r="F96" s="448"/>
      <c r="G96" s="448"/>
      <c r="H96" s="448"/>
      <c r="I96" s="448"/>
      <c r="J96" s="448"/>
      <c r="K96" s="448"/>
    </row>
    <row r="97" spans="1:11" s="277" customFormat="1" ht="18" customHeight="1" x14ac:dyDescent="0.2">
      <c r="A97" s="448" t="s">
        <v>534</v>
      </c>
      <c r="B97" s="448"/>
      <c r="C97" s="448"/>
      <c r="D97" s="448"/>
      <c r="E97" s="448"/>
      <c r="F97" s="448"/>
      <c r="G97" s="448"/>
      <c r="H97" s="448"/>
      <c r="I97" s="448"/>
      <c r="J97" s="448"/>
      <c r="K97" s="448"/>
    </row>
    <row r="98" spans="1:11" s="277" customFormat="1" ht="17.25" customHeight="1" x14ac:dyDescent="0.2">
      <c r="A98" s="448" t="s">
        <v>535</v>
      </c>
      <c r="B98" s="448"/>
      <c r="C98" s="448"/>
      <c r="D98" s="448"/>
      <c r="E98" s="448"/>
      <c r="F98" s="448"/>
      <c r="G98" s="448"/>
      <c r="H98" s="448"/>
      <c r="I98" s="448"/>
      <c r="J98" s="448"/>
      <c r="K98" s="448"/>
    </row>
    <row r="99" spans="1:11" s="277" customFormat="1" x14ac:dyDescent="0.2">
      <c r="A99" s="448" t="s">
        <v>509</v>
      </c>
      <c r="B99" s="448"/>
      <c r="C99" s="448"/>
      <c r="D99" s="448"/>
      <c r="E99" s="448"/>
      <c r="F99" s="448"/>
      <c r="G99" s="448"/>
      <c r="H99" s="448"/>
      <c r="I99" s="448"/>
      <c r="J99" s="448"/>
      <c r="K99" s="448"/>
    </row>
    <row r="100" spans="1:11" s="277" customFormat="1" x14ac:dyDescent="0.2">
      <c r="A100" s="448" t="s">
        <v>536</v>
      </c>
      <c r="B100" s="448"/>
      <c r="C100" s="448"/>
      <c r="D100" s="448"/>
      <c r="E100" s="448"/>
      <c r="F100" s="448"/>
      <c r="G100" s="448"/>
      <c r="H100" s="448"/>
      <c r="I100" s="448"/>
      <c r="J100" s="448"/>
      <c r="K100" s="448"/>
    </row>
    <row r="101" spans="1:11" s="277" customFormat="1" ht="41.25" customHeight="1" x14ac:dyDescent="0.2">
      <c r="A101" s="448" t="s">
        <v>537</v>
      </c>
      <c r="B101" s="448"/>
      <c r="C101" s="448"/>
      <c r="D101" s="448"/>
      <c r="E101" s="448"/>
      <c r="F101" s="448"/>
      <c r="G101" s="448"/>
      <c r="H101" s="448"/>
      <c r="I101" s="448"/>
      <c r="J101" s="448"/>
      <c r="K101" s="448"/>
    </row>
    <row r="102" spans="1:11" s="277" customFormat="1" ht="40.5" customHeight="1" x14ac:dyDescent="0.2">
      <c r="A102" s="448" t="s">
        <v>592</v>
      </c>
      <c r="B102" s="448"/>
      <c r="C102" s="448"/>
      <c r="D102" s="448"/>
      <c r="E102" s="448"/>
      <c r="F102" s="448"/>
      <c r="G102" s="448"/>
      <c r="H102" s="448"/>
      <c r="I102" s="448"/>
      <c r="J102" s="448"/>
      <c r="K102" s="448"/>
    </row>
    <row r="103" spans="1:11" s="277" customFormat="1" x14ac:dyDescent="0.2">
      <c r="A103" s="448" t="s">
        <v>593</v>
      </c>
      <c r="B103" s="448"/>
      <c r="C103" s="448"/>
      <c r="D103" s="448"/>
      <c r="E103" s="448"/>
      <c r="F103" s="448"/>
      <c r="G103" s="448"/>
      <c r="H103" s="448"/>
      <c r="I103" s="448"/>
      <c r="J103" s="448"/>
      <c r="K103" s="448"/>
    </row>
    <row r="104" spans="1:11" s="277" customFormat="1" x14ac:dyDescent="0.2">
      <c r="A104" s="448" t="s">
        <v>594</v>
      </c>
      <c r="B104" s="448"/>
      <c r="C104" s="448"/>
      <c r="D104" s="448"/>
      <c r="E104" s="448"/>
      <c r="F104" s="448"/>
      <c r="G104" s="448"/>
      <c r="H104" s="448"/>
      <c r="I104" s="448"/>
      <c r="J104" s="448"/>
      <c r="K104" s="448"/>
    </row>
    <row r="105" spans="1:11" s="277" customFormat="1" x14ac:dyDescent="0.2">
      <c r="A105" s="448" t="s">
        <v>595</v>
      </c>
      <c r="B105" s="448"/>
      <c r="C105" s="448"/>
      <c r="D105" s="448"/>
      <c r="E105" s="448"/>
      <c r="F105" s="448"/>
      <c r="G105" s="448"/>
      <c r="H105" s="448"/>
      <c r="I105" s="448"/>
      <c r="J105" s="448"/>
      <c r="K105" s="448"/>
    </row>
    <row r="106" spans="1:11" x14ac:dyDescent="0.2">
      <c r="C106" s="184"/>
      <c r="D106" s="278"/>
    </row>
  </sheetData>
  <mergeCells count="13">
    <mergeCell ref="A98:K98"/>
    <mergeCell ref="A93:K93"/>
    <mergeCell ref="A94:K94"/>
    <mergeCell ref="A95:K95"/>
    <mergeCell ref="A96:K96"/>
    <mergeCell ref="A97:K97"/>
    <mergeCell ref="A105:K105"/>
    <mergeCell ref="A99:K99"/>
    <mergeCell ref="A100:K100"/>
    <mergeCell ref="A101:K101"/>
    <mergeCell ref="A102:K102"/>
    <mergeCell ref="A103:K103"/>
    <mergeCell ref="A104:K104"/>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37"/>
  <sheetViews>
    <sheetView zoomScale="80" zoomScaleNormal="80" workbookViewId="0">
      <selection activeCell="B27" sqref="B26:B27"/>
    </sheetView>
  </sheetViews>
  <sheetFormatPr defaultRowHeight="18" x14ac:dyDescent="0.2"/>
  <cols>
    <col min="1" max="1" width="8.85546875" style="54" customWidth="1"/>
    <col min="2" max="2" width="65" style="54" bestFit="1" customWidth="1"/>
    <col min="3" max="3" width="14.7109375" style="10" customWidth="1"/>
    <col min="4" max="4" width="14.28515625" style="10" customWidth="1"/>
    <col min="5" max="5" width="12.7109375" style="10" bestFit="1" customWidth="1"/>
    <col min="6" max="6" width="15.42578125" style="10" bestFit="1" customWidth="1"/>
    <col min="7" max="7" width="14.28515625" style="10" bestFit="1" customWidth="1"/>
    <col min="8" max="8" width="15" style="10" customWidth="1"/>
    <col min="9" max="11" width="9.140625" style="10"/>
    <col min="12" max="12" width="10.7109375" style="10" bestFit="1" customWidth="1"/>
    <col min="13" max="16384" width="9.140625" style="10"/>
  </cols>
  <sheetData>
    <row r="1" spans="1:9" s="54" customFormat="1" ht="56.25" x14ac:dyDescent="0.2">
      <c r="A1" s="11" t="s">
        <v>468</v>
      </c>
      <c r="B1" s="11" t="s">
        <v>447</v>
      </c>
      <c r="C1" s="115" t="s">
        <v>606</v>
      </c>
      <c r="D1" s="115" t="s">
        <v>614</v>
      </c>
      <c r="E1" s="115" t="s">
        <v>608</v>
      </c>
      <c r="F1" s="115" t="s">
        <v>609</v>
      </c>
      <c r="G1" s="115" t="s">
        <v>610</v>
      </c>
      <c r="H1" s="115" t="s">
        <v>611</v>
      </c>
    </row>
    <row r="2" spans="1:9" s="54" customFormat="1" ht="18.75" x14ac:dyDescent="0.2">
      <c r="A2" s="11">
        <v>1</v>
      </c>
      <c r="B2" s="11">
        <v>2</v>
      </c>
      <c r="C2" s="11">
        <v>3</v>
      </c>
      <c r="D2" s="11">
        <v>4</v>
      </c>
      <c r="E2" s="11">
        <v>5</v>
      </c>
      <c r="F2" s="11">
        <v>6</v>
      </c>
      <c r="G2" s="11">
        <v>7</v>
      </c>
      <c r="H2" s="11">
        <v>8</v>
      </c>
      <c r="I2" s="439"/>
    </row>
    <row r="3" spans="1:9" ht="18.75" x14ac:dyDescent="0.2">
      <c r="A3" s="11">
        <v>1</v>
      </c>
      <c r="B3" s="17" t="s">
        <v>448</v>
      </c>
      <c r="C3" s="20">
        <v>20948326</v>
      </c>
      <c r="D3" s="20">
        <v>21975868</v>
      </c>
      <c r="E3" s="20">
        <v>5254655</v>
      </c>
      <c r="F3" s="20">
        <v>11163672</v>
      </c>
      <c r="G3" s="20">
        <v>17200011</v>
      </c>
      <c r="H3" s="20">
        <v>23357404</v>
      </c>
      <c r="I3" s="437"/>
    </row>
    <row r="4" spans="1:9" ht="18.75" x14ac:dyDescent="0.2">
      <c r="A4" s="11">
        <v>2</v>
      </c>
      <c r="B4" s="17" t="s">
        <v>449</v>
      </c>
      <c r="C4" s="20">
        <v>20398294</v>
      </c>
      <c r="D4" s="20">
        <v>21193130</v>
      </c>
      <c r="E4" s="20">
        <v>4899191</v>
      </c>
      <c r="F4" s="20">
        <v>10439869</v>
      </c>
      <c r="G4" s="20">
        <v>16118252</v>
      </c>
      <c r="H4" s="20">
        <v>22041133</v>
      </c>
      <c r="I4" s="437"/>
    </row>
    <row r="5" spans="1:9" ht="18.75" x14ac:dyDescent="0.2">
      <c r="A5" s="441">
        <v>3</v>
      </c>
      <c r="B5" s="442" t="s">
        <v>450</v>
      </c>
      <c r="C5" s="440">
        <v>550032</v>
      </c>
      <c r="D5" s="440">
        <v>782738</v>
      </c>
      <c r="E5" s="440">
        <f>E3-E4</f>
        <v>355464</v>
      </c>
      <c r="F5" s="440">
        <f>F3-F4</f>
        <v>723803</v>
      </c>
      <c r="G5" s="440">
        <f>G3-G4</f>
        <v>1081759</v>
      </c>
      <c r="H5" s="440">
        <f>H3-H4</f>
        <v>1316271</v>
      </c>
      <c r="I5" s="437"/>
    </row>
    <row r="6" spans="1:9" ht="18.75" x14ac:dyDescent="0.2">
      <c r="A6" s="11">
        <v>4</v>
      </c>
      <c r="B6" s="17" t="s">
        <v>451</v>
      </c>
      <c r="C6" s="20"/>
      <c r="D6" s="20"/>
      <c r="E6" s="20"/>
      <c r="F6" s="20"/>
      <c r="G6" s="20"/>
      <c r="H6" s="20"/>
      <c r="I6" s="437"/>
    </row>
    <row r="7" spans="1:9" ht="18.75" x14ac:dyDescent="0.2">
      <c r="A7" s="11">
        <v>5</v>
      </c>
      <c r="B7" s="17" t="s">
        <v>452</v>
      </c>
      <c r="C7" s="20">
        <v>1261352</v>
      </c>
      <c r="D7" s="20">
        <v>1140827</v>
      </c>
      <c r="E7" s="20">
        <v>286531</v>
      </c>
      <c r="F7" s="20">
        <v>573065</v>
      </c>
      <c r="G7" s="20">
        <v>859593</v>
      </c>
      <c r="H7" s="20">
        <v>1146123</v>
      </c>
      <c r="I7" s="437"/>
    </row>
    <row r="8" spans="1:9" ht="18.75" x14ac:dyDescent="0.2">
      <c r="A8" s="11">
        <v>6</v>
      </c>
      <c r="B8" s="17" t="s">
        <v>453</v>
      </c>
      <c r="C8" s="20">
        <v>1841303</v>
      </c>
      <c r="D8" s="20">
        <v>528583</v>
      </c>
      <c r="E8" s="20">
        <v>131067</v>
      </c>
      <c r="F8" s="20">
        <v>252129</v>
      </c>
      <c r="G8" s="20">
        <v>377834</v>
      </c>
      <c r="H8" s="20">
        <v>599852</v>
      </c>
      <c r="I8" s="437"/>
    </row>
    <row r="9" spans="1:9" ht="18.75" x14ac:dyDescent="0.2">
      <c r="A9" s="11">
        <v>7</v>
      </c>
      <c r="B9" s="17" t="s">
        <v>454</v>
      </c>
      <c r="C9" s="20">
        <v>583511</v>
      </c>
      <c r="D9" s="20">
        <v>776462</v>
      </c>
      <c r="E9" s="20">
        <v>199417</v>
      </c>
      <c r="F9" s="20">
        <v>400356</v>
      </c>
      <c r="G9" s="20">
        <v>558187</v>
      </c>
      <c r="H9" s="20">
        <v>667911</v>
      </c>
      <c r="I9" s="437"/>
    </row>
    <row r="10" spans="1:9" ht="37.5" hidden="1" x14ac:dyDescent="0.2">
      <c r="A10" s="11">
        <v>8</v>
      </c>
      <c r="B10" s="17" t="s">
        <v>455</v>
      </c>
      <c r="C10" s="20"/>
      <c r="D10" s="20"/>
      <c r="E10" s="20"/>
      <c r="F10" s="20"/>
      <c r="G10" s="20"/>
      <c r="H10" s="20"/>
      <c r="I10" s="437"/>
    </row>
    <row r="11" spans="1:9" ht="37.5" hidden="1" x14ac:dyDescent="0.2">
      <c r="A11" s="11">
        <v>9</v>
      </c>
      <c r="B11" s="17" t="s">
        <v>456</v>
      </c>
      <c r="C11" s="20"/>
      <c r="D11" s="20"/>
      <c r="E11" s="20"/>
      <c r="F11" s="20"/>
      <c r="G11" s="20"/>
      <c r="H11" s="20"/>
      <c r="I11" s="437"/>
    </row>
    <row r="12" spans="1:9" ht="18.75" x14ac:dyDescent="0.2">
      <c r="A12" s="11">
        <v>10</v>
      </c>
      <c r="B12" s="17" t="s">
        <v>457</v>
      </c>
      <c r="C12" s="20"/>
      <c r="D12" s="20">
        <v>57</v>
      </c>
      <c r="E12" s="20"/>
      <c r="F12" s="20"/>
      <c r="G12" s="20"/>
      <c r="H12" s="20"/>
      <c r="I12" s="437"/>
    </row>
    <row r="13" spans="1:9" ht="37.5" hidden="1" x14ac:dyDescent="0.2">
      <c r="A13" s="11">
        <v>11</v>
      </c>
      <c r="B13" s="17" t="s">
        <v>458</v>
      </c>
      <c r="C13" s="20"/>
      <c r="D13" s="20"/>
      <c r="E13" s="20"/>
      <c r="F13" s="20"/>
      <c r="G13" s="20"/>
      <c r="H13" s="20"/>
      <c r="I13" s="437"/>
    </row>
    <row r="14" spans="1:9" ht="18.75" x14ac:dyDescent="0.2">
      <c r="A14" s="11">
        <v>12</v>
      </c>
      <c r="B14" s="17" t="s">
        <v>459</v>
      </c>
      <c r="C14" s="20"/>
      <c r="D14" s="20">
        <v>11</v>
      </c>
      <c r="E14" s="20"/>
      <c r="F14" s="20"/>
      <c r="G14" s="20"/>
      <c r="H14" s="20"/>
      <c r="I14" s="437"/>
    </row>
    <row r="15" spans="1:9" ht="37.5" x14ac:dyDescent="0.2">
      <c r="A15" s="18">
        <v>13</v>
      </c>
      <c r="B15" s="19" t="s">
        <v>460</v>
      </c>
      <c r="C15" s="21">
        <v>546472</v>
      </c>
      <c r="D15" s="21">
        <v>-605922</v>
      </c>
      <c r="E15" s="21">
        <v>583</v>
      </c>
      <c r="F15" s="21">
        <v>2511</v>
      </c>
      <c r="G15" s="21">
        <v>41813</v>
      </c>
      <c r="H15" s="21">
        <v>102089</v>
      </c>
    </row>
    <row r="16" spans="1:9" ht="18.75" hidden="1" x14ac:dyDescent="0.2">
      <c r="A16" s="11">
        <v>14</v>
      </c>
      <c r="B16" s="17" t="s">
        <v>461</v>
      </c>
      <c r="C16" s="20"/>
      <c r="D16" s="20"/>
      <c r="E16" s="20"/>
      <c r="F16" s="20"/>
      <c r="G16" s="20"/>
      <c r="H16" s="20"/>
    </row>
    <row r="17" spans="1:9" ht="18.75" hidden="1" x14ac:dyDescent="0.2">
      <c r="A17" s="11">
        <v>15</v>
      </c>
      <c r="B17" s="17" t="s">
        <v>462</v>
      </c>
      <c r="C17" s="20"/>
      <c r="D17" s="20"/>
      <c r="E17" s="20"/>
      <c r="F17" s="20"/>
      <c r="G17" s="20"/>
      <c r="H17" s="20"/>
    </row>
    <row r="18" spans="1:9" ht="18.75" hidden="1" x14ac:dyDescent="0.2">
      <c r="A18" s="11">
        <v>16</v>
      </c>
      <c r="B18" s="17" t="s">
        <v>463</v>
      </c>
      <c r="C18" s="20"/>
      <c r="D18" s="20"/>
      <c r="E18" s="20"/>
      <c r="F18" s="20"/>
      <c r="G18" s="20"/>
      <c r="H18" s="20"/>
    </row>
    <row r="19" spans="1:9" ht="18.75" hidden="1" x14ac:dyDescent="0.2">
      <c r="A19" s="11">
        <v>17</v>
      </c>
      <c r="B19" s="17" t="s">
        <v>464</v>
      </c>
      <c r="C19" s="20"/>
      <c r="D19" s="20"/>
      <c r="E19" s="20"/>
      <c r="F19" s="20"/>
      <c r="G19" s="20"/>
      <c r="H19" s="20"/>
    </row>
    <row r="20" spans="1:9" ht="18.75" hidden="1" x14ac:dyDescent="0.2">
      <c r="A20" s="11">
        <v>18</v>
      </c>
      <c r="B20" s="17" t="s">
        <v>465</v>
      </c>
      <c r="C20" s="20"/>
      <c r="D20" s="20"/>
      <c r="E20" s="20"/>
      <c r="F20" s="20"/>
      <c r="G20" s="20"/>
      <c r="H20" s="20"/>
    </row>
    <row r="21" spans="1:9" ht="18.75" hidden="1" x14ac:dyDescent="0.2">
      <c r="A21" s="11">
        <v>19</v>
      </c>
      <c r="B21" s="17" t="s">
        <v>466</v>
      </c>
      <c r="C21" s="20"/>
      <c r="D21" s="20"/>
      <c r="E21" s="20"/>
      <c r="F21" s="20"/>
      <c r="G21" s="20"/>
      <c r="H21" s="20"/>
    </row>
    <row r="22" spans="1:9" ht="18.75" x14ac:dyDescent="0.2">
      <c r="A22" s="18">
        <v>20</v>
      </c>
      <c r="B22" s="19" t="s">
        <v>467</v>
      </c>
      <c r="C22" s="21">
        <v>546472</v>
      </c>
      <c r="D22" s="21">
        <v>-605922</v>
      </c>
      <c r="E22" s="21">
        <f>E3-E4-E7+E8-E9</f>
        <v>583</v>
      </c>
      <c r="F22" s="21">
        <f>F3-F4-F7+F8-F9</f>
        <v>2511</v>
      </c>
      <c r="G22" s="21">
        <f>G3-G4-G7+G8-G9</f>
        <v>41813</v>
      </c>
      <c r="H22" s="21">
        <f>H3-H4-H7+H8-H9</f>
        <v>102089</v>
      </c>
    </row>
    <row r="23" spans="1:9" x14ac:dyDescent="0.2">
      <c r="A23" s="50"/>
      <c r="B23" s="50"/>
      <c r="C23" s="13"/>
      <c r="D23" s="13"/>
      <c r="E23" s="13"/>
      <c r="F23" s="13"/>
      <c r="G23" s="13"/>
      <c r="H23" s="13"/>
    </row>
    <row r="24" spans="1:9" ht="18.75" x14ac:dyDescent="0.2">
      <c r="A24" s="449" t="s">
        <v>596</v>
      </c>
      <c r="B24" s="449"/>
      <c r="C24" s="449"/>
      <c r="D24" s="449"/>
      <c r="E24" s="449"/>
      <c r="F24" s="449"/>
      <c r="G24" s="449"/>
      <c r="H24" s="449"/>
    </row>
    <row r="25" spans="1:9" x14ac:dyDescent="0.2">
      <c r="A25" s="50"/>
      <c r="B25" s="50"/>
      <c r="C25" s="12"/>
      <c r="D25" s="12"/>
      <c r="E25" s="12"/>
      <c r="F25" s="12"/>
      <c r="G25" s="12"/>
      <c r="H25" s="12"/>
    </row>
    <row r="26" spans="1:9" x14ac:dyDescent="0.2">
      <c r="A26" s="50"/>
      <c r="B26" s="50"/>
      <c r="C26" s="12"/>
      <c r="D26" s="12"/>
      <c r="E26" s="12"/>
      <c r="F26" s="12"/>
      <c r="G26" s="12"/>
      <c r="H26" s="12"/>
    </row>
    <row r="27" spans="1:9" x14ac:dyDescent="0.2">
      <c r="A27" s="50"/>
      <c r="B27" s="50"/>
      <c r="C27" s="12"/>
      <c r="D27" s="12"/>
      <c r="E27" s="12"/>
      <c r="F27" s="12"/>
      <c r="G27" s="12"/>
      <c r="H27" s="12"/>
    </row>
    <row r="28" spans="1:9" ht="18.75" x14ac:dyDescent="0.2">
      <c r="A28" s="51"/>
      <c r="B28" s="52"/>
      <c r="C28" s="14"/>
      <c r="D28" s="14"/>
      <c r="E28" s="435"/>
      <c r="F28" s="435"/>
      <c r="G28" s="435"/>
      <c r="H28" s="435"/>
      <c r="I28" s="437"/>
    </row>
    <row r="29" spans="1:9" ht="18.75" x14ac:dyDescent="0.2">
      <c r="A29" s="53"/>
      <c r="B29" s="15"/>
      <c r="C29" s="16"/>
      <c r="D29" s="16"/>
      <c r="E29" s="436"/>
      <c r="F29" s="436"/>
      <c r="G29" s="436"/>
      <c r="H29" s="436"/>
      <c r="I29" s="437"/>
    </row>
    <row r="30" spans="1:9" ht="18.75" x14ac:dyDescent="0.2">
      <c r="A30" s="53"/>
      <c r="B30" s="15"/>
      <c r="C30" s="16"/>
      <c r="D30" s="16"/>
      <c r="E30" s="436"/>
      <c r="F30" s="436"/>
      <c r="G30" s="436"/>
      <c r="H30" s="436"/>
      <c r="I30" s="437"/>
    </row>
    <row r="31" spans="1:9" ht="18.75" x14ac:dyDescent="0.2">
      <c r="A31" s="53"/>
      <c r="B31" s="15"/>
      <c r="C31" s="16"/>
      <c r="D31" s="16"/>
      <c r="E31" s="16"/>
      <c r="F31" s="16"/>
      <c r="G31" s="16"/>
      <c r="H31" s="16"/>
      <c r="I31" s="437"/>
    </row>
    <row r="32" spans="1:9" ht="18.75" x14ac:dyDescent="0.2">
      <c r="A32" s="53"/>
      <c r="B32" s="15"/>
      <c r="C32" s="16"/>
      <c r="D32" s="16"/>
      <c r="E32" s="436"/>
      <c r="F32" s="436"/>
      <c r="G32" s="436"/>
      <c r="H32" s="436"/>
      <c r="I32" s="437"/>
    </row>
    <row r="33" spans="1:9" ht="18.75" x14ac:dyDescent="0.2">
      <c r="A33" s="53"/>
      <c r="B33" s="15"/>
      <c r="C33" s="16"/>
      <c r="D33" s="16"/>
      <c r="E33" s="16"/>
      <c r="F33" s="16"/>
      <c r="G33" s="16"/>
      <c r="H33" s="16"/>
      <c r="I33" s="437"/>
    </row>
    <row r="34" spans="1:9" x14ac:dyDescent="0.2">
      <c r="E34" s="437"/>
      <c r="F34" s="437"/>
      <c r="G34" s="437"/>
      <c r="H34" s="437"/>
      <c r="I34" s="437"/>
    </row>
    <row r="35" spans="1:9" x14ac:dyDescent="0.2">
      <c r="E35" s="437"/>
      <c r="F35" s="437"/>
      <c r="G35" s="437"/>
      <c r="H35" s="437"/>
      <c r="I35" s="437"/>
    </row>
    <row r="36" spans="1:9" x14ac:dyDescent="0.2">
      <c r="E36" s="437"/>
      <c r="F36" s="438"/>
      <c r="G36" s="437"/>
      <c r="H36" s="438"/>
      <c r="I36" s="437"/>
    </row>
    <row r="37" spans="1:9" x14ac:dyDescent="0.2">
      <c r="E37" s="437"/>
      <c r="F37" s="437"/>
      <c r="G37" s="437"/>
      <c r="H37" s="437"/>
      <c r="I37" s="437"/>
    </row>
  </sheetData>
  <mergeCells count="1">
    <mergeCell ref="A24:H24"/>
  </mergeCells>
  <pageMargins left="0.7" right="0.7" top="0.75" bottom="0.75" header="0.3" footer="0.3"/>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61"/>
  <sheetViews>
    <sheetView tabSelected="1" topLeftCell="A3" zoomScale="80" zoomScaleNormal="80" workbookViewId="0">
      <selection activeCell="K66" sqref="J66:K66"/>
    </sheetView>
  </sheetViews>
  <sheetFormatPr defaultRowHeight="18.75" x14ac:dyDescent="0.3"/>
  <cols>
    <col min="1" max="1" width="8.42578125" style="55" bestFit="1" customWidth="1"/>
    <col min="2" max="2" width="45.28515625" style="55" bestFit="1" customWidth="1"/>
    <col min="3" max="3" width="16.85546875" style="56" bestFit="1" customWidth="1"/>
    <col min="4" max="4" width="18.28515625" style="56" bestFit="1" customWidth="1"/>
    <col min="5" max="7" width="15.5703125" style="56" bestFit="1" customWidth="1"/>
    <col min="8" max="8" width="16.85546875" style="56" bestFit="1" customWidth="1"/>
    <col min="9" max="16384" width="9.140625" style="56"/>
  </cols>
  <sheetData>
    <row r="1" spans="1:8" s="55" customFormat="1" ht="56.25" x14ac:dyDescent="0.3">
      <c r="A1" s="33" t="s">
        <v>0</v>
      </c>
      <c r="B1" s="32" t="s">
        <v>362</v>
      </c>
      <c r="C1" s="115" t="s">
        <v>606</v>
      </c>
      <c r="D1" s="115" t="s">
        <v>614</v>
      </c>
      <c r="E1" s="115" t="s">
        <v>608</v>
      </c>
      <c r="F1" s="115" t="s">
        <v>609</v>
      </c>
      <c r="G1" s="115" t="s">
        <v>610</v>
      </c>
      <c r="H1" s="115" t="s">
        <v>611</v>
      </c>
    </row>
    <row r="2" spans="1:8" s="55" customFormat="1" x14ac:dyDescent="0.3">
      <c r="A2" s="11">
        <v>1</v>
      </c>
      <c r="B2" s="11">
        <v>2</v>
      </c>
      <c r="C2" s="11">
        <v>3</v>
      </c>
      <c r="D2" s="11">
        <v>4</v>
      </c>
      <c r="E2" s="11">
        <v>5</v>
      </c>
      <c r="F2" s="11">
        <v>6</v>
      </c>
      <c r="G2" s="11">
        <v>7</v>
      </c>
      <c r="H2" s="11">
        <v>8</v>
      </c>
    </row>
    <row r="3" spans="1:8" s="55" customFormat="1" x14ac:dyDescent="0.3">
      <c r="A3" s="8">
        <v>45000</v>
      </c>
      <c r="B3" s="31" t="s">
        <v>363</v>
      </c>
      <c r="C3" s="398">
        <f t="shared" ref="C3" si="0">C4+C5+C6</f>
        <v>7194213</v>
      </c>
      <c r="D3" s="23">
        <f>D4+D5+D6</f>
        <v>6264666</v>
      </c>
      <c r="E3" s="23">
        <f>E4+E5+E6</f>
        <v>6265249</v>
      </c>
      <c r="F3" s="23">
        <f>F4+F5+F6</f>
        <v>6267177</v>
      </c>
      <c r="G3" s="23">
        <f>G4+G5+G6</f>
        <v>6306479</v>
      </c>
      <c r="H3" s="23">
        <f>H4+H5+H6</f>
        <v>6308215</v>
      </c>
    </row>
    <row r="4" spans="1:8" x14ac:dyDescent="0.3">
      <c r="A4" s="9">
        <v>45100</v>
      </c>
      <c r="B4" s="24" t="s">
        <v>364</v>
      </c>
      <c r="C4" s="399">
        <v>3947044</v>
      </c>
      <c r="D4" s="57">
        <v>4044523</v>
      </c>
      <c r="E4" s="57">
        <v>4044523</v>
      </c>
      <c r="F4" s="57">
        <v>4044523</v>
      </c>
      <c r="G4" s="57">
        <v>4044523</v>
      </c>
      <c r="H4" s="57">
        <v>4044523</v>
      </c>
    </row>
    <row r="5" spans="1:8" x14ac:dyDescent="0.3">
      <c r="A5" s="9">
        <v>45200</v>
      </c>
      <c r="B5" s="24" t="s">
        <v>365</v>
      </c>
      <c r="C5" s="400">
        <v>2199699</v>
      </c>
      <c r="D5" s="57">
        <v>2199698</v>
      </c>
      <c r="E5" s="57">
        <v>2199698</v>
      </c>
      <c r="F5" s="57">
        <v>2199698</v>
      </c>
      <c r="G5" s="57">
        <v>2199698</v>
      </c>
      <c r="H5" s="57">
        <v>2141158</v>
      </c>
    </row>
    <row r="6" spans="1:8" s="55" customFormat="1" x14ac:dyDescent="0.3">
      <c r="A6" s="7">
        <v>45300</v>
      </c>
      <c r="B6" s="26" t="s">
        <v>366</v>
      </c>
      <c r="C6" s="401">
        <f t="shared" ref="C6" si="1">C7+C8</f>
        <v>1047470</v>
      </c>
      <c r="D6" s="27">
        <f>D7+D8</f>
        <v>20445</v>
      </c>
      <c r="E6" s="27">
        <f>E7+E8</f>
        <v>21028</v>
      </c>
      <c r="F6" s="27">
        <f>F7+F8</f>
        <v>22956</v>
      </c>
      <c r="G6" s="27">
        <f>G7+G8</f>
        <v>62258</v>
      </c>
      <c r="H6" s="27">
        <f>H7+H8</f>
        <v>122534</v>
      </c>
    </row>
    <row r="7" spans="1:8" x14ac:dyDescent="0.3">
      <c r="A7" s="9">
        <v>45310</v>
      </c>
      <c r="B7" s="24" t="s">
        <v>367</v>
      </c>
      <c r="C7" s="400">
        <v>500998</v>
      </c>
      <c r="D7" s="57">
        <v>626367</v>
      </c>
      <c r="E7" s="57">
        <v>20445</v>
      </c>
      <c r="F7" s="57">
        <v>20445</v>
      </c>
      <c r="G7" s="57">
        <v>20445</v>
      </c>
      <c r="H7" s="57">
        <v>20445</v>
      </c>
    </row>
    <row r="8" spans="1:8" x14ac:dyDescent="0.3">
      <c r="A8" s="9">
        <v>45320</v>
      </c>
      <c r="B8" s="24" t="s">
        <v>368</v>
      </c>
      <c r="C8" s="400">
        <v>546472</v>
      </c>
      <c r="D8" s="57">
        <v>-605922</v>
      </c>
      <c r="E8" s="57">
        <v>583</v>
      </c>
      <c r="F8" s="57">
        <v>2511</v>
      </c>
      <c r="G8" s="57">
        <v>41813</v>
      </c>
      <c r="H8" s="57">
        <v>102089</v>
      </c>
    </row>
    <row r="9" spans="1:8" x14ac:dyDescent="0.3">
      <c r="A9" s="8">
        <v>46000</v>
      </c>
      <c r="B9" s="22" t="s">
        <v>369</v>
      </c>
      <c r="C9" s="28">
        <v>148187</v>
      </c>
      <c r="D9" s="28">
        <v>186196</v>
      </c>
      <c r="E9" s="28">
        <v>186196</v>
      </c>
      <c r="F9" s="28">
        <v>186196</v>
      </c>
      <c r="G9" s="28">
        <v>186196</v>
      </c>
      <c r="H9" s="28">
        <v>196200</v>
      </c>
    </row>
    <row r="10" spans="1:8" s="55" customFormat="1" x14ac:dyDescent="0.3">
      <c r="A10" s="8">
        <v>47000</v>
      </c>
      <c r="B10" s="22" t="s">
        <v>370</v>
      </c>
      <c r="C10" s="398">
        <f t="shared" ref="C10:H10" si="2">C11+C18</f>
        <v>8081513</v>
      </c>
      <c r="D10" s="23">
        <f t="shared" si="2"/>
        <v>8105018</v>
      </c>
      <c r="E10" s="23">
        <f t="shared" si="2"/>
        <v>7845478</v>
      </c>
      <c r="F10" s="23">
        <f t="shared" si="2"/>
        <v>7542648</v>
      </c>
      <c r="G10" s="23">
        <f t="shared" si="2"/>
        <v>7337448</v>
      </c>
      <c r="H10" s="23">
        <f t="shared" si="2"/>
        <v>7909958</v>
      </c>
    </row>
    <row r="11" spans="1:8" s="55" customFormat="1" x14ac:dyDescent="0.3">
      <c r="A11" s="8">
        <v>47100</v>
      </c>
      <c r="B11" s="22" t="s">
        <v>371</v>
      </c>
      <c r="C11" s="398">
        <f>SUM(C12:C17)</f>
        <v>6297141</v>
      </c>
      <c r="D11" s="23">
        <f>D15+D16</f>
        <v>5930401</v>
      </c>
      <c r="E11" s="23">
        <f>E15+E16</f>
        <v>5990401</v>
      </c>
      <c r="F11" s="23">
        <f>F15+F16</f>
        <v>6030401</v>
      </c>
      <c r="G11" s="23">
        <f>G15+G16</f>
        <v>6030401</v>
      </c>
      <c r="H11" s="23">
        <f>H15+H16</f>
        <v>5677211</v>
      </c>
    </row>
    <row r="12" spans="1:8" x14ac:dyDescent="0.3">
      <c r="A12" s="9">
        <v>47110</v>
      </c>
      <c r="B12" s="24" t="s">
        <v>372</v>
      </c>
      <c r="C12" s="25"/>
      <c r="D12" s="25"/>
      <c r="E12" s="25"/>
      <c r="F12" s="25"/>
      <c r="G12" s="25"/>
      <c r="H12" s="25"/>
    </row>
    <row r="13" spans="1:8" ht="37.5" x14ac:dyDescent="0.3">
      <c r="A13" s="9">
        <v>47120</v>
      </c>
      <c r="B13" s="24" t="s">
        <v>373</v>
      </c>
      <c r="C13" s="25"/>
      <c r="D13" s="25"/>
      <c r="E13" s="25"/>
      <c r="F13" s="25"/>
      <c r="G13" s="25"/>
      <c r="H13" s="25"/>
    </row>
    <row r="14" spans="1:8" x14ac:dyDescent="0.3">
      <c r="A14" s="9">
        <v>47130</v>
      </c>
      <c r="B14" s="24" t="s">
        <v>374</v>
      </c>
      <c r="C14" s="25"/>
      <c r="D14" s="25"/>
      <c r="E14" s="25"/>
      <c r="F14" s="25"/>
      <c r="G14" s="25"/>
      <c r="H14" s="25"/>
    </row>
    <row r="15" spans="1:8" ht="37.5" x14ac:dyDescent="0.3">
      <c r="A15" s="9">
        <v>47131</v>
      </c>
      <c r="B15" s="24" t="s">
        <v>379</v>
      </c>
      <c r="C15" s="25"/>
      <c r="D15" s="25">
        <v>73913</v>
      </c>
      <c r="E15" s="25">
        <v>73913</v>
      </c>
      <c r="F15" s="25">
        <v>73913</v>
      </c>
      <c r="G15" s="25">
        <v>73913</v>
      </c>
      <c r="H15" s="25">
        <v>80000</v>
      </c>
    </row>
    <row r="16" spans="1:8" x14ac:dyDescent="0.3">
      <c r="A16" s="9">
        <v>47140</v>
      </c>
      <c r="B16" s="24" t="s">
        <v>375</v>
      </c>
      <c r="C16" s="25">
        <v>6297141</v>
      </c>
      <c r="D16" s="25">
        <v>5856488</v>
      </c>
      <c r="E16" s="25">
        <v>5916488</v>
      </c>
      <c r="F16" s="25">
        <v>5956488</v>
      </c>
      <c r="G16" s="25">
        <v>5956488</v>
      </c>
      <c r="H16" s="25">
        <v>5597211</v>
      </c>
    </row>
    <row r="17" spans="1:8" x14ac:dyDescent="0.3">
      <c r="A17" s="9">
        <v>47150</v>
      </c>
      <c r="B17" s="24" t="s">
        <v>376</v>
      </c>
      <c r="C17" s="25"/>
      <c r="D17" s="25"/>
      <c r="E17" s="25"/>
      <c r="F17" s="25"/>
      <c r="G17" s="25"/>
      <c r="H17" s="25"/>
    </row>
    <row r="18" spans="1:8" s="55" customFormat="1" x14ac:dyDescent="0.3">
      <c r="A18" s="8">
        <v>47200</v>
      </c>
      <c r="B18" s="22" t="s">
        <v>377</v>
      </c>
      <c r="C18" s="398">
        <f t="shared" ref="C18" si="3">SUM(C19:C26)</f>
        <v>1784372</v>
      </c>
      <c r="D18" s="23">
        <f>D21+D22+D23+D24+D25+D26</f>
        <v>2174617</v>
      </c>
      <c r="E18" s="23">
        <f>E21+E22+E23+E24+E25+E26</f>
        <v>1855077</v>
      </c>
      <c r="F18" s="23">
        <f>F21+F22+F23+F24+F25+F26</f>
        <v>1512247</v>
      </c>
      <c r="G18" s="23">
        <f>G21+G22+G23+G24+G25+G26</f>
        <v>1307047</v>
      </c>
      <c r="H18" s="23">
        <f>H21+H22+H23+H24+H25+H26</f>
        <v>2232747</v>
      </c>
    </row>
    <row r="19" spans="1:8" x14ac:dyDescent="0.3">
      <c r="A19" s="9">
        <v>47210</v>
      </c>
      <c r="B19" s="24" t="s">
        <v>372</v>
      </c>
      <c r="C19" s="400"/>
      <c r="D19" s="57"/>
      <c r="E19" s="57"/>
      <c r="F19" s="57"/>
      <c r="G19" s="57"/>
      <c r="H19" s="57"/>
    </row>
    <row r="20" spans="1:8" x14ac:dyDescent="0.3">
      <c r="A20" s="9">
        <v>47220</v>
      </c>
      <c r="B20" s="24" t="s">
        <v>374</v>
      </c>
      <c r="C20" s="400"/>
      <c r="D20" s="57"/>
      <c r="E20" s="57"/>
      <c r="F20" s="57"/>
      <c r="G20" s="57"/>
      <c r="H20" s="57"/>
    </row>
    <row r="21" spans="1:8" x14ac:dyDescent="0.3">
      <c r="A21" s="9">
        <v>47230</v>
      </c>
      <c r="B21" s="24" t="s">
        <v>378</v>
      </c>
      <c r="C21" s="399">
        <v>20946</v>
      </c>
      <c r="D21" s="57">
        <v>6010</v>
      </c>
      <c r="E21" s="57">
        <v>20000</v>
      </c>
      <c r="F21" s="57">
        <v>20000</v>
      </c>
      <c r="G21" s="57">
        <v>20000</v>
      </c>
      <c r="H21" s="57">
        <v>7000</v>
      </c>
    </row>
    <row r="22" spans="1:8" ht="37.5" x14ac:dyDescent="0.3">
      <c r="A22" s="9">
        <v>47240</v>
      </c>
      <c r="B22" s="24" t="s">
        <v>379</v>
      </c>
      <c r="C22" s="399">
        <v>180000</v>
      </c>
      <c r="D22" s="57">
        <v>571370</v>
      </c>
      <c r="E22" s="57">
        <v>950000</v>
      </c>
      <c r="F22" s="57">
        <v>571370</v>
      </c>
      <c r="G22" s="57">
        <v>571370</v>
      </c>
      <c r="H22" s="57">
        <v>571370</v>
      </c>
    </row>
    <row r="23" spans="1:8" x14ac:dyDescent="0.3">
      <c r="A23" s="9">
        <v>47250</v>
      </c>
      <c r="B23" s="24" t="s">
        <v>380</v>
      </c>
      <c r="C23" s="399">
        <v>708207</v>
      </c>
      <c r="D23" s="57">
        <v>530815</v>
      </c>
      <c r="E23" s="57">
        <v>590100</v>
      </c>
      <c r="F23" s="57">
        <v>590100</v>
      </c>
      <c r="G23" s="57">
        <v>550100</v>
      </c>
      <c r="H23" s="57">
        <v>550100</v>
      </c>
    </row>
    <row r="24" spans="1:8" x14ac:dyDescent="0.3">
      <c r="A24" s="9">
        <v>47260</v>
      </c>
      <c r="B24" s="24" t="s">
        <v>381</v>
      </c>
      <c r="C24" s="399">
        <v>95432</v>
      </c>
      <c r="D24" s="57">
        <v>86342</v>
      </c>
      <c r="E24" s="57">
        <v>95000</v>
      </c>
      <c r="F24" s="57">
        <v>95000</v>
      </c>
      <c r="G24" s="57">
        <v>95000</v>
      </c>
      <c r="H24" s="57">
        <v>95000</v>
      </c>
    </row>
    <row r="25" spans="1:8" x14ac:dyDescent="0.3">
      <c r="A25" s="9">
        <v>47280</v>
      </c>
      <c r="B25" s="24" t="s">
        <v>375</v>
      </c>
      <c r="C25" s="400">
        <v>0</v>
      </c>
      <c r="D25" s="57">
        <v>259277</v>
      </c>
      <c r="E25" s="57">
        <v>195077</v>
      </c>
      <c r="F25" s="57">
        <v>230877</v>
      </c>
      <c r="G25" s="57">
        <v>65677</v>
      </c>
      <c r="H25" s="57">
        <v>259277</v>
      </c>
    </row>
    <row r="26" spans="1:8" x14ac:dyDescent="0.3">
      <c r="A26" s="9">
        <v>47290</v>
      </c>
      <c r="B26" s="24" t="s">
        <v>382</v>
      </c>
      <c r="C26" s="400">
        <v>779787</v>
      </c>
      <c r="D26" s="57">
        <v>720803</v>
      </c>
      <c r="E26" s="57">
        <v>4900</v>
      </c>
      <c r="F26" s="57">
        <v>4900</v>
      </c>
      <c r="G26" s="57">
        <v>4900</v>
      </c>
      <c r="H26" s="57">
        <v>750000</v>
      </c>
    </row>
    <row r="27" spans="1:8" s="55" customFormat="1" ht="37.5" x14ac:dyDescent="0.3">
      <c r="A27" s="8">
        <v>48000</v>
      </c>
      <c r="B27" s="22" t="s">
        <v>383</v>
      </c>
      <c r="C27" s="23">
        <f t="shared" ref="C27:H27" si="4">C10+C9+C3</f>
        <v>15423913</v>
      </c>
      <c r="D27" s="23">
        <f t="shared" si="4"/>
        <v>14555880</v>
      </c>
      <c r="E27" s="23">
        <f t="shared" si="4"/>
        <v>14296923</v>
      </c>
      <c r="F27" s="23">
        <f t="shared" si="4"/>
        <v>13996021</v>
      </c>
      <c r="G27" s="23">
        <f t="shared" si="4"/>
        <v>13830123</v>
      </c>
      <c r="H27" s="23">
        <f t="shared" si="4"/>
        <v>14414373</v>
      </c>
    </row>
    <row r="28" spans="1:8" x14ac:dyDescent="0.3">
      <c r="A28" s="336"/>
      <c r="B28" s="337"/>
      <c r="C28" s="403"/>
      <c r="D28" s="337"/>
      <c r="E28" s="337"/>
      <c r="F28" s="337"/>
      <c r="G28" s="337"/>
      <c r="H28" s="337"/>
    </row>
    <row r="29" spans="1:8" s="55" customFormat="1" x14ac:dyDescent="0.3">
      <c r="A29" s="8">
        <v>49000</v>
      </c>
      <c r="B29" s="22" t="s">
        <v>384</v>
      </c>
      <c r="C29" s="398">
        <f t="shared" ref="C29" si="5">C30+C33+C40</f>
        <v>12044084</v>
      </c>
      <c r="D29" s="23">
        <f>D30+D33</f>
        <v>12622570</v>
      </c>
      <c r="E29" s="23">
        <f>E30+E33</f>
        <v>12656286</v>
      </c>
      <c r="F29" s="23">
        <f>F30+F33</f>
        <v>12614612</v>
      </c>
      <c r="G29" s="23">
        <f>G30+G33</f>
        <v>12514612</v>
      </c>
      <c r="H29" s="23">
        <f>H30+H33</f>
        <v>12714612</v>
      </c>
    </row>
    <row r="30" spans="1:8" s="55" customFormat="1" x14ac:dyDescent="0.3">
      <c r="A30" s="8">
        <v>49100</v>
      </c>
      <c r="B30" s="22" t="s">
        <v>385</v>
      </c>
      <c r="C30" s="398">
        <f>C31</f>
        <v>0</v>
      </c>
      <c r="D30" s="23">
        <v>54612</v>
      </c>
      <c r="E30" s="23">
        <v>54612</v>
      </c>
      <c r="F30" s="23">
        <v>54612</v>
      </c>
      <c r="G30" s="23">
        <v>54612</v>
      </c>
      <c r="H30" s="23">
        <v>54612</v>
      </c>
    </row>
    <row r="31" spans="1:8" hidden="1" x14ac:dyDescent="0.3">
      <c r="A31" s="9">
        <v>49110</v>
      </c>
      <c r="B31" s="24" t="s">
        <v>386</v>
      </c>
      <c r="C31" s="25"/>
      <c r="D31" s="25"/>
      <c r="E31" s="25"/>
      <c r="F31" s="25"/>
      <c r="G31" s="25"/>
      <c r="H31" s="25"/>
    </row>
    <row r="32" spans="1:8" ht="37.5" hidden="1" x14ac:dyDescent="0.3">
      <c r="A32" s="9">
        <v>49120</v>
      </c>
      <c r="B32" s="24" t="s">
        <v>387</v>
      </c>
      <c r="C32" s="25"/>
      <c r="D32" s="25"/>
      <c r="E32" s="25"/>
      <c r="F32" s="25"/>
      <c r="G32" s="25"/>
      <c r="H32" s="25"/>
    </row>
    <row r="33" spans="1:8" s="55" customFormat="1" x14ac:dyDescent="0.3">
      <c r="A33" s="8">
        <v>49200</v>
      </c>
      <c r="B33" s="22" t="s">
        <v>388</v>
      </c>
      <c r="C33" s="398">
        <f t="shared" ref="C33" si="6">SUM(C34:C39)</f>
        <v>12044084</v>
      </c>
      <c r="D33" s="23">
        <f>D34+D35+D36+D37</f>
        <v>12567958</v>
      </c>
      <c r="E33" s="23">
        <f>E34+E35+E36+E37</f>
        <v>12601674</v>
      </c>
      <c r="F33" s="23">
        <f>F34+F35+F36+F37</f>
        <v>12560000</v>
      </c>
      <c r="G33" s="23">
        <f>G34+G35+G36+G37</f>
        <v>12460000</v>
      </c>
      <c r="H33" s="23">
        <f>H34+H35+H36+H37</f>
        <v>12660000</v>
      </c>
    </row>
    <row r="34" spans="1:8" ht="37.5" x14ac:dyDescent="0.3">
      <c r="A34" s="9">
        <v>49210</v>
      </c>
      <c r="B34" s="24" t="s">
        <v>389</v>
      </c>
      <c r="C34" s="402">
        <v>8217706</v>
      </c>
      <c r="D34" s="25">
        <v>9079597</v>
      </c>
      <c r="E34" s="25">
        <v>9079597</v>
      </c>
      <c r="F34" s="25">
        <v>9050000</v>
      </c>
      <c r="G34" s="25">
        <v>9150000</v>
      </c>
      <c r="H34" s="25">
        <v>9350000</v>
      </c>
    </row>
    <row r="35" spans="1:8" x14ac:dyDescent="0.3">
      <c r="A35" s="9">
        <v>49220</v>
      </c>
      <c r="B35" s="24" t="s">
        <v>390</v>
      </c>
      <c r="C35" s="402">
        <v>2141910</v>
      </c>
      <c r="D35" s="25">
        <v>2062147</v>
      </c>
      <c r="E35" s="25">
        <v>2062147</v>
      </c>
      <c r="F35" s="25">
        <v>2000000</v>
      </c>
      <c r="G35" s="25">
        <v>2100000</v>
      </c>
      <c r="H35" s="25">
        <v>2100000</v>
      </c>
    </row>
    <row r="36" spans="1:8" x14ac:dyDescent="0.3">
      <c r="A36" s="9">
        <v>49230</v>
      </c>
      <c r="B36" s="24" t="s">
        <v>391</v>
      </c>
      <c r="C36" s="402">
        <v>757468</v>
      </c>
      <c r="D36" s="25">
        <v>1209930</v>
      </c>
      <c r="E36" s="25">
        <v>1209930</v>
      </c>
      <c r="F36" s="25">
        <v>1210000</v>
      </c>
      <c r="G36" s="25">
        <v>1210000</v>
      </c>
      <c r="H36" s="25">
        <v>1210000</v>
      </c>
    </row>
    <row r="37" spans="1:8" ht="37.5" x14ac:dyDescent="0.3">
      <c r="A37" s="9">
        <v>49240</v>
      </c>
      <c r="B37" s="24" t="s">
        <v>392</v>
      </c>
      <c r="C37" s="402">
        <v>927000</v>
      </c>
      <c r="D37" s="25">
        <v>216284</v>
      </c>
      <c r="E37" s="25">
        <v>250000</v>
      </c>
      <c r="F37" s="25">
        <v>300000</v>
      </c>
      <c r="G37" s="25">
        <v>0</v>
      </c>
      <c r="H37" s="25">
        <v>0</v>
      </c>
    </row>
    <row r="38" spans="1:8" hidden="1" x14ac:dyDescent="0.3">
      <c r="A38" s="9">
        <v>49250</v>
      </c>
      <c r="B38" s="24" t="s">
        <v>393</v>
      </c>
      <c r="C38" s="25"/>
      <c r="D38" s="25"/>
      <c r="E38" s="25"/>
      <c r="F38" s="25"/>
      <c r="G38" s="25"/>
      <c r="H38" s="25"/>
    </row>
    <row r="39" spans="1:8" hidden="1" x14ac:dyDescent="0.3">
      <c r="A39" s="9">
        <v>49260</v>
      </c>
      <c r="B39" s="24" t="s">
        <v>394</v>
      </c>
      <c r="C39" s="25"/>
      <c r="D39" s="25"/>
      <c r="E39" s="25"/>
      <c r="F39" s="25"/>
      <c r="G39" s="25"/>
      <c r="H39" s="25"/>
    </row>
    <row r="40" spans="1:8" s="55" customFormat="1" x14ac:dyDescent="0.3">
      <c r="A40" s="8">
        <v>49300</v>
      </c>
      <c r="B40" s="22" t="s">
        <v>395</v>
      </c>
      <c r="C40" s="398">
        <f t="shared" ref="C40" si="7">C41+C42</f>
        <v>0</v>
      </c>
      <c r="D40" s="23">
        <v>0</v>
      </c>
      <c r="E40" s="23">
        <v>0</v>
      </c>
      <c r="F40" s="23">
        <v>0</v>
      </c>
      <c r="G40" s="23">
        <v>0</v>
      </c>
      <c r="H40" s="23">
        <v>0</v>
      </c>
    </row>
    <row r="41" spans="1:8" ht="37.5" hidden="1" x14ac:dyDescent="0.3">
      <c r="A41" s="6">
        <v>49310</v>
      </c>
      <c r="B41" s="24" t="s">
        <v>396</v>
      </c>
      <c r="C41" s="25"/>
      <c r="D41" s="25"/>
      <c r="E41" s="25"/>
      <c r="F41" s="25"/>
      <c r="G41" s="25"/>
      <c r="H41" s="25"/>
    </row>
    <row r="42" spans="1:8" ht="37.5" hidden="1" x14ac:dyDescent="0.3">
      <c r="A42" s="6">
        <v>49320</v>
      </c>
      <c r="B42" s="24" t="s">
        <v>397</v>
      </c>
      <c r="C42" s="25"/>
      <c r="D42" s="25"/>
      <c r="E42" s="25"/>
      <c r="F42" s="25"/>
      <c r="G42" s="25"/>
      <c r="H42" s="25"/>
    </row>
    <row r="43" spans="1:8" s="55" customFormat="1" x14ac:dyDescent="0.3">
      <c r="A43" s="8">
        <v>50000</v>
      </c>
      <c r="B43" s="22" t="s">
        <v>398</v>
      </c>
      <c r="C43" s="398">
        <f t="shared" ref="C43:H43" si="8">C44+C48+C54</f>
        <v>3379829</v>
      </c>
      <c r="D43" s="23">
        <f t="shared" si="8"/>
        <v>1933310</v>
      </c>
      <c r="E43" s="23">
        <f t="shared" si="8"/>
        <v>1640637</v>
      </c>
      <c r="F43" s="23">
        <f t="shared" si="8"/>
        <v>1381409</v>
      </c>
      <c r="G43" s="23">
        <f t="shared" si="8"/>
        <v>1315511</v>
      </c>
      <c r="H43" s="23">
        <f t="shared" si="8"/>
        <v>1699761</v>
      </c>
    </row>
    <row r="44" spans="1:8" s="55" customFormat="1" x14ac:dyDescent="0.3">
      <c r="A44" s="8">
        <v>50100</v>
      </c>
      <c r="B44" s="22" t="s">
        <v>399</v>
      </c>
      <c r="C44" s="398">
        <f t="shared" ref="C44" si="9">SUM(C45:C47)</f>
        <v>285964</v>
      </c>
      <c r="D44" s="23">
        <f>D45+D47</f>
        <v>244581</v>
      </c>
      <c r="E44" s="23">
        <f>E45+E47</f>
        <v>144581</v>
      </c>
      <c r="F44" s="23">
        <f>F45+F47</f>
        <v>146500</v>
      </c>
      <c r="G44" s="23">
        <f>G45+G47</f>
        <v>176500</v>
      </c>
      <c r="H44" s="23">
        <f>H45+H47</f>
        <v>246500</v>
      </c>
    </row>
    <row r="45" spans="1:8" ht="37.5" x14ac:dyDescent="0.3">
      <c r="A45" s="9">
        <v>50110</v>
      </c>
      <c r="B45" s="24" t="s">
        <v>400</v>
      </c>
      <c r="C45" s="402">
        <v>275000</v>
      </c>
      <c r="D45" s="25">
        <v>243033</v>
      </c>
      <c r="E45" s="25">
        <v>143033</v>
      </c>
      <c r="F45" s="25">
        <v>145000</v>
      </c>
      <c r="G45" s="25">
        <v>175000</v>
      </c>
      <c r="H45" s="25">
        <v>245000</v>
      </c>
    </row>
    <row r="46" spans="1:8" x14ac:dyDescent="0.3">
      <c r="A46" s="9">
        <v>50120</v>
      </c>
      <c r="B46" s="24" t="s">
        <v>401</v>
      </c>
      <c r="C46" s="402"/>
      <c r="D46" s="25"/>
      <c r="E46" s="25"/>
      <c r="F46" s="25"/>
      <c r="G46" s="25"/>
      <c r="H46" s="25"/>
    </row>
    <row r="47" spans="1:8" x14ac:dyDescent="0.3">
      <c r="A47" s="9">
        <v>50130</v>
      </c>
      <c r="B47" s="24" t="s">
        <v>402</v>
      </c>
      <c r="C47" s="402">
        <v>10964</v>
      </c>
      <c r="D47" s="25">
        <v>1548</v>
      </c>
      <c r="E47" s="25">
        <v>1548</v>
      </c>
      <c r="F47" s="25">
        <v>1500</v>
      </c>
      <c r="G47" s="25">
        <v>1500</v>
      </c>
      <c r="H47" s="25">
        <v>1500</v>
      </c>
    </row>
    <row r="48" spans="1:8" s="55" customFormat="1" x14ac:dyDescent="0.3">
      <c r="A48" s="8">
        <v>50200</v>
      </c>
      <c r="B48" s="22" t="s">
        <v>403</v>
      </c>
      <c r="C48" s="398">
        <f>SUM(C49:C53)</f>
        <v>881009</v>
      </c>
      <c r="D48" s="23">
        <f>D49+D51+D52</f>
        <v>981451</v>
      </c>
      <c r="E48" s="23">
        <f>E49+E51+E52</f>
        <v>942992</v>
      </c>
      <c r="F48" s="23">
        <f>F49+F51+F52</f>
        <v>929245</v>
      </c>
      <c r="G48" s="23">
        <f>G49+G51+G52</f>
        <v>980543</v>
      </c>
      <c r="H48" s="23">
        <f>H49+H51+H52</f>
        <v>1072299</v>
      </c>
    </row>
    <row r="49" spans="1:8" x14ac:dyDescent="0.3">
      <c r="A49" s="9">
        <v>50210</v>
      </c>
      <c r="B49" s="24" t="s">
        <v>404</v>
      </c>
      <c r="C49" s="402">
        <v>850000</v>
      </c>
      <c r="D49" s="25">
        <v>964488</v>
      </c>
      <c r="E49" s="25">
        <v>926029</v>
      </c>
      <c r="F49" s="25">
        <v>914488</v>
      </c>
      <c r="G49" s="25">
        <v>964488</v>
      </c>
      <c r="H49" s="25">
        <v>1050000</v>
      </c>
    </row>
    <row r="50" spans="1:8" hidden="1" x14ac:dyDescent="0.3">
      <c r="A50" s="9">
        <v>50220</v>
      </c>
      <c r="B50" s="24" t="s">
        <v>405</v>
      </c>
      <c r="C50" s="402"/>
      <c r="D50" s="25"/>
      <c r="E50" s="25"/>
      <c r="F50" s="25"/>
      <c r="G50" s="25"/>
      <c r="H50" s="25"/>
    </row>
    <row r="51" spans="1:8" x14ac:dyDescent="0.3">
      <c r="A51" s="9">
        <v>50230</v>
      </c>
      <c r="B51" s="24" t="s">
        <v>406</v>
      </c>
      <c r="C51" s="402">
        <v>10429</v>
      </c>
      <c r="D51" s="25">
        <v>872</v>
      </c>
      <c r="E51" s="25">
        <v>872</v>
      </c>
      <c r="F51" s="25">
        <v>1000</v>
      </c>
      <c r="G51" s="25">
        <v>1000</v>
      </c>
      <c r="H51" s="25">
        <v>1000</v>
      </c>
    </row>
    <row r="52" spans="1:8" x14ac:dyDescent="0.3">
      <c r="A52" s="9">
        <v>50240</v>
      </c>
      <c r="B52" s="24" t="s">
        <v>407</v>
      </c>
      <c r="C52" s="402">
        <v>20580</v>
      </c>
      <c r="D52" s="25">
        <v>16091</v>
      </c>
      <c r="E52" s="25">
        <v>16091</v>
      </c>
      <c r="F52" s="25">
        <v>13757</v>
      </c>
      <c r="G52" s="25">
        <v>15055</v>
      </c>
      <c r="H52" s="25">
        <v>21299</v>
      </c>
    </row>
    <row r="53" spans="1:8" x14ac:dyDescent="0.3">
      <c r="A53" s="9">
        <v>50250</v>
      </c>
      <c r="B53" s="24" t="s">
        <v>408</v>
      </c>
      <c r="C53" s="402">
        <v>0</v>
      </c>
      <c r="D53" s="25"/>
      <c r="E53" s="25"/>
      <c r="F53" s="25"/>
      <c r="G53" s="25"/>
      <c r="H53" s="25"/>
    </row>
    <row r="54" spans="1:8" x14ac:dyDescent="0.3">
      <c r="A54" s="8">
        <v>50300</v>
      </c>
      <c r="B54" s="22" t="s">
        <v>409</v>
      </c>
      <c r="C54" s="28">
        <v>2212856</v>
      </c>
      <c r="D54" s="28">
        <v>707278</v>
      </c>
      <c r="E54" s="28">
        <v>553064</v>
      </c>
      <c r="F54" s="28">
        <v>305664</v>
      </c>
      <c r="G54" s="28">
        <v>158468</v>
      </c>
      <c r="H54" s="28">
        <v>380962</v>
      </c>
    </row>
    <row r="55" spans="1:8" s="55" customFormat="1" ht="37.5" x14ac:dyDescent="0.3">
      <c r="A55" s="8">
        <v>51000</v>
      </c>
      <c r="B55" s="22" t="s">
        <v>410</v>
      </c>
      <c r="C55" s="23">
        <f>C43+C29</f>
        <v>15423913</v>
      </c>
      <c r="D55" s="23">
        <f>D43+D29</f>
        <v>14555880</v>
      </c>
      <c r="E55" s="23">
        <f>E43+E29</f>
        <v>14296923</v>
      </c>
      <c r="F55" s="23">
        <f>F29+F43</f>
        <v>13996021</v>
      </c>
      <c r="G55" s="23">
        <f>G29+G43</f>
        <v>13830123</v>
      </c>
      <c r="H55" s="23">
        <f>H29+H43</f>
        <v>14414373</v>
      </c>
    </row>
    <row r="56" spans="1:8" x14ac:dyDescent="0.3">
      <c r="A56" s="338"/>
      <c r="B56" s="339"/>
      <c r="C56" s="403"/>
      <c r="D56" s="339"/>
      <c r="E56" s="339"/>
      <c r="F56" s="339"/>
      <c r="G56" s="339"/>
      <c r="H56" s="339"/>
    </row>
    <row r="57" spans="1:8" s="55" customFormat="1" x14ac:dyDescent="0.3">
      <c r="A57" s="8" t="s">
        <v>312</v>
      </c>
      <c r="B57" s="22" t="s">
        <v>411</v>
      </c>
      <c r="C57" s="398">
        <f t="shared" ref="C57" si="10">SUM(C58:C59)</f>
        <v>8081513</v>
      </c>
      <c r="D57" s="23">
        <f>D58+D59</f>
        <v>8105018</v>
      </c>
      <c r="E57" s="23">
        <f>E58+E59</f>
        <v>7845478</v>
      </c>
      <c r="F57" s="23">
        <f>F58+F59</f>
        <v>7542648</v>
      </c>
      <c r="G57" s="23">
        <f>G58+G59</f>
        <v>7337448</v>
      </c>
      <c r="H57" s="23">
        <f>H58+H59</f>
        <v>7909958</v>
      </c>
    </row>
    <row r="58" spans="1:8" s="55" customFormat="1" x14ac:dyDescent="0.3">
      <c r="A58" s="8">
        <v>21000</v>
      </c>
      <c r="B58" s="29" t="s">
        <v>412</v>
      </c>
      <c r="C58" s="398">
        <f t="shared" ref="C58:H58" si="11">C11</f>
        <v>6297141</v>
      </c>
      <c r="D58" s="23">
        <f t="shared" si="11"/>
        <v>5930401</v>
      </c>
      <c r="E58" s="23">
        <f t="shared" si="11"/>
        <v>5990401</v>
      </c>
      <c r="F58" s="23">
        <f t="shared" si="11"/>
        <v>6030401</v>
      </c>
      <c r="G58" s="23">
        <f t="shared" si="11"/>
        <v>6030401</v>
      </c>
      <c r="H58" s="23">
        <f t="shared" si="11"/>
        <v>5677211</v>
      </c>
    </row>
    <row r="59" spans="1:8" s="55" customFormat="1" x14ac:dyDescent="0.3">
      <c r="A59" s="8">
        <v>22000</v>
      </c>
      <c r="B59" s="30" t="s">
        <v>413</v>
      </c>
      <c r="C59" s="398">
        <f t="shared" ref="C59" si="12">C18</f>
        <v>1784372</v>
      </c>
      <c r="D59" s="23">
        <f>D18</f>
        <v>2174617</v>
      </c>
      <c r="E59" s="23">
        <f>E18</f>
        <v>1855077</v>
      </c>
      <c r="F59" s="23">
        <f>F18</f>
        <v>1512247</v>
      </c>
      <c r="G59" s="23">
        <f>G18</f>
        <v>1307047</v>
      </c>
      <c r="H59" s="23">
        <f>H18</f>
        <v>2232747</v>
      </c>
    </row>
    <row r="61" spans="1:8" x14ac:dyDescent="0.3">
      <c r="E61" s="443"/>
      <c r="F61" s="443"/>
      <c r="G61" s="443"/>
      <c r="H61" s="443"/>
    </row>
  </sheetData>
  <pageMargins left="0.70866141732283472" right="0.70866141732283472" top="0.55118110236220474" bottom="0.19685039370078741" header="0.31496062992125984" footer="0.31496062992125984"/>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94"/>
  <sheetViews>
    <sheetView topLeftCell="A55" zoomScale="80" zoomScaleNormal="80" workbookViewId="0">
      <selection activeCell="G78" sqref="G78"/>
    </sheetView>
  </sheetViews>
  <sheetFormatPr defaultColWidth="7.7109375" defaultRowHeight="18.75" x14ac:dyDescent="0.3"/>
  <cols>
    <col min="1" max="1" width="8.140625" style="295" customWidth="1"/>
    <col min="2" max="2" width="41.140625" style="295" customWidth="1"/>
    <col min="3" max="3" width="13.85546875" style="295" customWidth="1"/>
    <col min="4" max="4" width="14.140625" style="295" customWidth="1"/>
    <col min="5" max="5" width="17.7109375" style="295" customWidth="1"/>
    <col min="6" max="6" width="15.5703125" style="295" customWidth="1"/>
    <col min="7" max="7" width="13.85546875" style="295" customWidth="1"/>
    <col min="8" max="8" width="17.7109375" style="295" customWidth="1"/>
    <col min="9" max="233" width="9.140625" style="295" customWidth="1"/>
    <col min="234" max="234" width="3.140625" style="295" customWidth="1"/>
    <col min="235" max="235" width="4.42578125" style="295" customWidth="1"/>
    <col min="236" max="236" width="26" style="295" customWidth="1"/>
    <col min="237" max="237" width="8.7109375" style="295" customWidth="1"/>
    <col min="238" max="239" width="7.7109375" style="295"/>
    <col min="240" max="240" width="8.7109375" style="295" customWidth="1"/>
    <col min="241" max="242" width="7.7109375" style="295"/>
    <col min="243" max="243" width="8.7109375" style="295" customWidth="1"/>
    <col min="244" max="16384" width="7.7109375" style="295"/>
  </cols>
  <sheetData>
    <row r="1" spans="1:8" ht="52.5" customHeight="1" x14ac:dyDescent="0.3">
      <c r="A1" s="182" t="s">
        <v>0</v>
      </c>
      <c r="B1" s="183" t="s">
        <v>574</v>
      </c>
      <c r="C1" s="115" t="s">
        <v>606</v>
      </c>
      <c r="D1" s="115" t="s">
        <v>614</v>
      </c>
      <c r="E1" s="115" t="s">
        <v>608</v>
      </c>
      <c r="F1" s="115" t="s">
        <v>609</v>
      </c>
      <c r="G1" s="115" t="s">
        <v>610</v>
      </c>
      <c r="H1" s="115" t="s">
        <v>611</v>
      </c>
    </row>
    <row r="2" spans="1:8" x14ac:dyDescent="0.3">
      <c r="A2" s="182">
        <v>1</v>
      </c>
      <c r="B2" s="183">
        <v>2</v>
      </c>
      <c r="C2" s="115">
        <v>3</v>
      </c>
      <c r="D2" s="115">
        <v>4</v>
      </c>
      <c r="E2" s="115">
        <v>5</v>
      </c>
      <c r="F2" s="115">
        <v>6</v>
      </c>
      <c r="G2" s="115">
        <v>7</v>
      </c>
      <c r="H2" s="115">
        <v>8</v>
      </c>
    </row>
    <row r="3" spans="1:8" x14ac:dyDescent="0.3">
      <c r="A3" s="166">
        <v>51000</v>
      </c>
      <c r="B3" s="148" t="s">
        <v>295</v>
      </c>
      <c r="C3" s="256">
        <f t="shared" ref="C3:H3" ca="1" si="0">C4+C7+C10+C13</f>
        <v>0</v>
      </c>
      <c r="D3" s="256">
        <f t="shared" ca="1" si="0"/>
        <v>47069</v>
      </c>
      <c r="E3" s="256">
        <f t="shared" ca="1" si="0"/>
        <v>0</v>
      </c>
      <c r="F3" s="256">
        <f t="shared" ca="1" si="0"/>
        <v>0</v>
      </c>
      <c r="G3" s="256">
        <f t="shared" ca="1" si="0"/>
        <v>0</v>
      </c>
      <c r="H3" s="256">
        <f t="shared" ca="1" si="0"/>
        <v>0</v>
      </c>
    </row>
    <row r="4" spans="1:8" ht="40.5" customHeight="1" x14ac:dyDescent="0.3">
      <c r="A4" s="182">
        <v>51100</v>
      </c>
      <c r="B4" s="296" t="s">
        <v>559</v>
      </c>
      <c r="C4" s="297">
        <f ca="1">SUM(OFFSET(C7,-1,0):OFFSET(C4,1,0))</f>
        <v>0</v>
      </c>
      <c r="D4" s="297">
        <f ca="1">SUM(OFFSET(D7,-1,0):OFFSET(D4,1,0))</f>
        <v>0</v>
      </c>
      <c r="E4" s="297">
        <f ca="1">SUM(OFFSET(E7,-1,0):OFFSET(E4,1,0))</f>
        <v>0</v>
      </c>
      <c r="F4" s="297">
        <f ca="1">SUM(OFFSET(F7,-1,0):OFFSET(F4,1,0))</f>
        <v>0</v>
      </c>
      <c r="G4" s="297">
        <f ca="1">SUM(OFFSET(G7,-1,0):OFFSET(G4,1,0))</f>
        <v>0</v>
      </c>
      <c r="H4" s="297">
        <f ca="1">SUM(OFFSET(H7,-1,0):OFFSET(H4,1,0))</f>
        <v>0</v>
      </c>
    </row>
    <row r="5" spans="1:8" s="300" customFormat="1" x14ac:dyDescent="0.3">
      <c r="A5" s="298"/>
      <c r="B5" s="299"/>
      <c r="C5" s="232"/>
      <c r="D5" s="232"/>
      <c r="E5" s="232"/>
      <c r="F5" s="232"/>
      <c r="G5" s="232"/>
      <c r="H5" s="232"/>
    </row>
    <row r="6" spans="1:8" s="300" customFormat="1" x14ac:dyDescent="0.3">
      <c r="A6" s="298"/>
      <c r="B6" s="299"/>
      <c r="C6" s="232"/>
      <c r="D6" s="232"/>
      <c r="E6" s="232"/>
      <c r="F6" s="232"/>
      <c r="G6" s="232"/>
      <c r="H6" s="232"/>
    </row>
    <row r="7" spans="1:8" ht="22.5" x14ac:dyDescent="0.3">
      <c r="A7" s="301">
        <v>51200</v>
      </c>
      <c r="B7" s="302" t="s">
        <v>560</v>
      </c>
      <c r="C7" s="297">
        <f ca="1">SUM(OFFSET(C10,-1,0):OFFSET(C7,1,0))</f>
        <v>0</v>
      </c>
      <c r="D7" s="297">
        <v>10769</v>
      </c>
      <c r="E7" s="297">
        <f ca="1">SUM(OFFSET(E10,-1,0):OFFSET(E7,1,0))</f>
        <v>0</v>
      </c>
      <c r="F7" s="297">
        <f ca="1">SUM(OFFSET(F10,-1,0):OFFSET(F7,1,0))</f>
        <v>0</v>
      </c>
      <c r="G7" s="297">
        <f ca="1">SUM(OFFSET(G10,-1,0):OFFSET(G7,1,0))</f>
        <v>0</v>
      </c>
      <c r="H7" s="297">
        <f ca="1">SUM(OFFSET(H10,-1,0):OFFSET(H7,1,0))</f>
        <v>0</v>
      </c>
    </row>
    <row r="8" spans="1:8" s="300" customFormat="1" x14ac:dyDescent="0.3">
      <c r="A8" s="105"/>
      <c r="B8" s="106"/>
      <c r="C8" s="232"/>
      <c r="D8" s="232"/>
      <c r="E8" s="232"/>
      <c r="F8" s="232"/>
      <c r="G8" s="232"/>
      <c r="H8" s="232"/>
    </row>
    <row r="9" spans="1:8" s="300" customFormat="1" x14ac:dyDescent="0.3">
      <c r="A9" s="105"/>
      <c r="B9" s="106"/>
      <c r="C9" s="232"/>
      <c r="D9" s="232"/>
      <c r="E9" s="232"/>
      <c r="F9" s="232"/>
      <c r="G9" s="232"/>
      <c r="H9" s="232"/>
    </row>
    <row r="10" spans="1:8" ht="56.25" x14ac:dyDescent="0.3">
      <c r="A10" s="301">
        <v>51300</v>
      </c>
      <c r="B10" s="302" t="s">
        <v>301</v>
      </c>
      <c r="C10" s="297">
        <f ca="1">SUM(OFFSET(C13,-1,0):OFFSET(C10,1,0))</f>
        <v>0</v>
      </c>
      <c r="D10" s="297">
        <v>36300</v>
      </c>
      <c r="E10" s="297">
        <f ca="1">SUM(OFFSET(E13,-1,0):OFFSET(E10,1,0))</f>
        <v>0</v>
      </c>
      <c r="F10" s="297">
        <f ca="1">SUM(OFFSET(F13,-1,0):OFFSET(F10,1,0))</f>
        <v>0</v>
      </c>
      <c r="G10" s="297">
        <f ca="1">SUM(OFFSET(G13,-1,0):OFFSET(G10,1,0))</f>
        <v>0</v>
      </c>
      <c r="H10" s="297">
        <f ca="1">SUM(OFFSET(H13,-1,0):OFFSET(H10,1,0))</f>
        <v>0</v>
      </c>
    </row>
    <row r="11" spans="1:8" s="300" customFormat="1" x14ac:dyDescent="0.3">
      <c r="A11" s="105"/>
      <c r="B11" s="106"/>
      <c r="C11" s="232"/>
      <c r="D11" s="232"/>
      <c r="E11" s="232"/>
      <c r="F11" s="232"/>
      <c r="G11" s="232"/>
      <c r="H11" s="232"/>
    </row>
    <row r="12" spans="1:8" s="300" customFormat="1" x14ac:dyDescent="0.3">
      <c r="A12" s="105"/>
      <c r="B12" s="106"/>
      <c r="C12" s="232"/>
      <c r="D12" s="232"/>
      <c r="E12" s="232"/>
      <c r="F12" s="232"/>
      <c r="G12" s="232"/>
      <c r="H12" s="232"/>
    </row>
    <row r="13" spans="1:8" ht="41.25" x14ac:dyDescent="0.3">
      <c r="A13" s="301">
        <v>51400</v>
      </c>
      <c r="B13" s="302" t="s">
        <v>561</v>
      </c>
      <c r="C13" s="297">
        <f ca="1">SUM(OFFSET(C16,-1,0):OFFSET(C13,1,0))</f>
        <v>0</v>
      </c>
      <c r="D13" s="297">
        <f ca="1">SUM(OFFSET(D16,-1,0):OFFSET(D13,1,0))</f>
        <v>0</v>
      </c>
      <c r="E13" s="297">
        <f ca="1">SUM(OFFSET(E16,-1,0):OFFSET(E13,1,0))</f>
        <v>0</v>
      </c>
      <c r="F13" s="297">
        <f ca="1">SUM(OFFSET(F16,-1,0):OFFSET(F13,1,0))</f>
        <v>0</v>
      </c>
      <c r="G13" s="297">
        <f ca="1">SUM(OFFSET(G16,-1,0):OFFSET(G13,1,0))</f>
        <v>0</v>
      </c>
      <c r="H13" s="297">
        <f ca="1">SUM(OFFSET(H16,-1,0):OFFSET(H13,1,0))</f>
        <v>0</v>
      </c>
    </row>
    <row r="14" spans="1:8" s="300" customFormat="1" x14ac:dyDescent="0.3">
      <c r="A14" s="105"/>
      <c r="B14" s="106"/>
      <c r="C14" s="232"/>
      <c r="D14" s="232"/>
      <c r="E14" s="232"/>
      <c r="F14" s="232"/>
      <c r="G14" s="232"/>
      <c r="H14" s="232"/>
    </row>
    <row r="15" spans="1:8" s="300" customFormat="1" x14ac:dyDescent="0.3">
      <c r="A15" s="105"/>
      <c r="B15" s="106"/>
      <c r="C15" s="232"/>
      <c r="D15" s="232"/>
      <c r="E15" s="232"/>
      <c r="F15" s="232"/>
      <c r="G15" s="232"/>
      <c r="H15" s="232"/>
    </row>
    <row r="16" spans="1:8" x14ac:dyDescent="0.3">
      <c r="A16" s="166">
        <v>52000</v>
      </c>
      <c r="B16" s="148" t="s">
        <v>296</v>
      </c>
      <c r="C16" s="256">
        <f ca="1">SUM(OFFSET(C24,-1,0):OFFSET(C16,1,0))</f>
        <v>0</v>
      </c>
      <c r="D16" s="256">
        <f ca="1">SUM(OFFSET(D24,-1,0):OFFSET(D16,1,0))</f>
        <v>514861</v>
      </c>
      <c r="E16" s="256">
        <f ca="1">SUM(OFFSET(E24,-1,0):OFFSET(E16,1,0))</f>
        <v>100000</v>
      </c>
      <c r="F16" s="256">
        <f ca="1">SUM(OFFSET(F24,-1,0):OFFSET(F16,1,0))</f>
        <v>200000</v>
      </c>
      <c r="G16" s="256">
        <f ca="1">SUM(OFFSET(G24,-1,0):OFFSET(G16,1,0))</f>
        <v>200000</v>
      </c>
      <c r="H16" s="256">
        <f ca="1">SUM(OFFSET(H24,-1,0):OFFSET(H16,1,0))</f>
        <v>200000</v>
      </c>
    </row>
    <row r="17" spans="1:8" ht="22.5" x14ac:dyDescent="0.3">
      <c r="A17" s="303">
        <v>52100</v>
      </c>
      <c r="B17" s="304" t="s">
        <v>562</v>
      </c>
      <c r="C17" s="232"/>
      <c r="D17" s="232"/>
      <c r="E17" s="234"/>
      <c r="F17" s="234"/>
      <c r="G17" s="234"/>
      <c r="H17" s="234"/>
    </row>
    <row r="18" spans="1:8" ht="22.5" x14ac:dyDescent="0.3">
      <c r="A18" s="303">
        <v>52200</v>
      </c>
      <c r="B18" s="304" t="s">
        <v>563</v>
      </c>
      <c r="C18" s="232"/>
      <c r="D18" s="232"/>
      <c r="E18" s="234"/>
      <c r="F18" s="234"/>
      <c r="G18" s="234"/>
      <c r="H18" s="234"/>
    </row>
    <row r="19" spans="1:8" ht="22.5" x14ac:dyDescent="0.3">
      <c r="A19" s="303">
        <v>52300</v>
      </c>
      <c r="B19" s="304" t="s">
        <v>564</v>
      </c>
      <c r="C19" s="232"/>
      <c r="D19" s="232"/>
      <c r="E19" s="234"/>
      <c r="F19" s="234"/>
      <c r="G19" s="234"/>
      <c r="H19" s="234"/>
    </row>
    <row r="20" spans="1:8" ht="22.5" x14ac:dyDescent="0.3">
      <c r="A20" s="303">
        <v>52400</v>
      </c>
      <c r="B20" s="304" t="s">
        <v>565</v>
      </c>
      <c r="C20" s="232"/>
      <c r="D20" s="232"/>
      <c r="E20" s="234"/>
      <c r="F20" s="234"/>
      <c r="G20" s="234"/>
      <c r="H20" s="234"/>
    </row>
    <row r="21" spans="1:8" ht="22.5" x14ac:dyDescent="0.3">
      <c r="A21" s="303">
        <v>52500</v>
      </c>
      <c r="B21" s="304" t="s">
        <v>566</v>
      </c>
      <c r="C21" s="232"/>
      <c r="D21" s="232"/>
      <c r="E21" s="234"/>
      <c r="F21" s="234"/>
      <c r="G21" s="234"/>
      <c r="H21" s="234"/>
    </row>
    <row r="22" spans="1:8" x14ac:dyDescent="0.3">
      <c r="A22" s="303">
        <v>52600</v>
      </c>
      <c r="B22" s="304" t="s">
        <v>293</v>
      </c>
      <c r="C22" s="232"/>
      <c r="D22" s="232">
        <v>514861</v>
      </c>
      <c r="E22" s="234">
        <v>100000</v>
      </c>
      <c r="F22" s="234">
        <v>200000</v>
      </c>
      <c r="G22" s="234">
        <v>200000</v>
      </c>
      <c r="H22" s="234">
        <v>200000</v>
      </c>
    </row>
    <row r="23" spans="1:8" ht="22.5" x14ac:dyDescent="0.3">
      <c r="A23" s="305">
        <v>52700</v>
      </c>
      <c r="B23" s="306" t="s">
        <v>567</v>
      </c>
      <c r="C23" s="232"/>
      <c r="D23" s="232"/>
      <c r="E23" s="234"/>
      <c r="F23" s="234"/>
      <c r="G23" s="234"/>
      <c r="H23" s="234"/>
    </row>
    <row r="24" spans="1:8" x14ac:dyDescent="0.3">
      <c r="A24" s="166">
        <v>53000</v>
      </c>
      <c r="B24" s="148" t="s">
        <v>297</v>
      </c>
      <c r="C24" s="256">
        <v>898524</v>
      </c>
      <c r="D24" s="256">
        <f ca="1">D25+D50+D53+D56+D69+D72</f>
        <v>776172</v>
      </c>
      <c r="E24" s="256">
        <f ca="1">E25+E50+E53+E56+E69+E72</f>
        <v>376214</v>
      </c>
      <c r="F24" s="256">
        <f ca="1">F25+F50+F53+F56+F69+F72</f>
        <v>681115</v>
      </c>
      <c r="G24" s="256">
        <f ca="1">G25+G50+G53+G56+G69+G72</f>
        <v>1010872</v>
      </c>
      <c r="H24" s="256">
        <f ca="1">H25+H50+H53+H56+H69+H72</f>
        <v>1093300</v>
      </c>
    </row>
    <row r="25" spans="1:8" ht="41.25" x14ac:dyDescent="0.3">
      <c r="A25" s="307">
        <v>53100</v>
      </c>
      <c r="B25" s="407" t="s">
        <v>568</v>
      </c>
      <c r="C25" s="297"/>
      <c r="D25" s="297">
        <v>723248</v>
      </c>
      <c r="E25" s="308">
        <f ca="1">E26+E47+E56</f>
        <v>319857</v>
      </c>
      <c r="F25" s="308">
        <f ca="1">F26+F47</f>
        <v>549000</v>
      </c>
      <c r="G25" s="308">
        <f ca="1">G26+G47</f>
        <v>873000</v>
      </c>
      <c r="H25" s="308">
        <f ca="1">H26+H47</f>
        <v>943000</v>
      </c>
    </row>
    <row r="26" spans="1:8" ht="37.5" x14ac:dyDescent="0.3">
      <c r="A26" s="303">
        <v>53110</v>
      </c>
      <c r="B26" s="408" t="s">
        <v>299</v>
      </c>
      <c r="C26" s="297"/>
      <c r="D26" s="297"/>
      <c r="E26" s="297">
        <f>SUM(E28:E46)</f>
        <v>304500</v>
      </c>
      <c r="F26" s="297">
        <f>SUM(F28:F46)</f>
        <v>549000</v>
      </c>
      <c r="G26" s="297">
        <f>SUM(G28:G46)</f>
        <v>873000</v>
      </c>
      <c r="H26" s="297">
        <f>SUM(H28:H46)</f>
        <v>943000</v>
      </c>
    </row>
    <row r="27" spans="1:8" s="300" customFormat="1" hidden="1" x14ac:dyDescent="0.3">
      <c r="A27" s="107"/>
      <c r="B27" s="409"/>
      <c r="C27" s="232"/>
      <c r="D27" s="232"/>
      <c r="E27" s="234"/>
      <c r="F27" s="234"/>
      <c r="G27" s="234"/>
      <c r="H27" s="234"/>
    </row>
    <row r="28" spans="1:8" s="300" customFormat="1" ht="37.5" x14ac:dyDescent="0.3">
      <c r="A28" s="107"/>
      <c r="B28" s="410" t="s">
        <v>615</v>
      </c>
      <c r="C28" s="232"/>
      <c r="D28" s="232"/>
      <c r="E28" s="234">
        <v>30000</v>
      </c>
      <c r="F28" s="234">
        <v>30000</v>
      </c>
      <c r="G28" s="234">
        <v>30000</v>
      </c>
      <c r="H28" s="234">
        <v>30000</v>
      </c>
    </row>
    <row r="29" spans="1:8" s="300" customFormat="1" x14ac:dyDescent="0.3">
      <c r="A29" s="107"/>
      <c r="B29" s="410" t="s">
        <v>616</v>
      </c>
      <c r="C29" s="232"/>
      <c r="D29" s="232"/>
      <c r="E29" s="234">
        <v>34000</v>
      </c>
      <c r="F29" s="234">
        <v>34000</v>
      </c>
      <c r="G29" s="234">
        <v>34000</v>
      </c>
      <c r="H29" s="234">
        <v>34000</v>
      </c>
    </row>
    <row r="30" spans="1:8" s="300" customFormat="1" x14ac:dyDescent="0.3">
      <c r="A30" s="107"/>
      <c r="B30" s="410" t="s">
        <v>617</v>
      </c>
      <c r="C30" s="232"/>
      <c r="D30" s="232"/>
      <c r="E30" s="234">
        <v>35000</v>
      </c>
      <c r="F30" s="234">
        <v>35000</v>
      </c>
      <c r="G30" s="234">
        <v>35000</v>
      </c>
      <c r="H30" s="234">
        <v>35000</v>
      </c>
    </row>
    <row r="31" spans="1:8" s="300" customFormat="1" ht="37.5" x14ac:dyDescent="0.3">
      <c r="A31" s="107"/>
      <c r="B31" s="411" t="s">
        <v>618</v>
      </c>
      <c r="C31" s="232"/>
      <c r="D31" s="232"/>
      <c r="E31" s="234">
        <v>70000</v>
      </c>
      <c r="F31" s="234">
        <v>70000</v>
      </c>
      <c r="G31" s="234">
        <v>70000</v>
      </c>
      <c r="H31" s="234">
        <v>70000</v>
      </c>
    </row>
    <row r="32" spans="1:8" s="300" customFormat="1" ht="37.5" x14ac:dyDescent="0.3">
      <c r="A32" s="107"/>
      <c r="B32" s="410" t="s">
        <v>601</v>
      </c>
      <c r="C32" s="232"/>
      <c r="D32" s="232"/>
      <c r="E32" s="234">
        <v>25000</v>
      </c>
      <c r="F32" s="234">
        <v>25000</v>
      </c>
      <c r="G32" s="234">
        <v>25000</v>
      </c>
      <c r="H32" s="234">
        <v>25000</v>
      </c>
    </row>
    <row r="33" spans="1:8" s="300" customFormat="1" ht="56.25" x14ac:dyDescent="0.3">
      <c r="A33" s="107"/>
      <c r="B33" s="162" t="s">
        <v>619</v>
      </c>
      <c r="C33" s="232"/>
      <c r="D33" s="232"/>
      <c r="E33" s="234">
        <v>67500</v>
      </c>
      <c r="F33" s="234">
        <v>67500</v>
      </c>
      <c r="G33" s="234">
        <v>67500</v>
      </c>
      <c r="H33" s="234">
        <v>67500</v>
      </c>
    </row>
    <row r="34" spans="1:8" s="300" customFormat="1" ht="37.5" x14ac:dyDescent="0.3">
      <c r="A34" s="107"/>
      <c r="B34" s="410" t="s">
        <v>620</v>
      </c>
      <c r="C34" s="232"/>
      <c r="D34" s="232"/>
      <c r="E34" s="234">
        <v>43000</v>
      </c>
      <c r="F34" s="234">
        <v>43000</v>
      </c>
      <c r="G34" s="234">
        <v>43000</v>
      </c>
      <c r="H34" s="234">
        <v>43000</v>
      </c>
    </row>
    <row r="35" spans="1:8" s="300" customFormat="1" ht="37.5" x14ac:dyDescent="0.3">
      <c r="A35" s="107"/>
      <c r="B35" s="411" t="s">
        <v>621</v>
      </c>
      <c r="C35" s="232"/>
      <c r="D35" s="232"/>
      <c r="E35" s="234"/>
      <c r="F35" s="234">
        <v>35000</v>
      </c>
      <c r="G35" s="234">
        <v>35000</v>
      </c>
      <c r="H35" s="234">
        <v>35000</v>
      </c>
    </row>
    <row r="36" spans="1:8" s="300" customFormat="1" ht="37.5" x14ac:dyDescent="0.3">
      <c r="A36" s="107"/>
      <c r="B36" s="410" t="s">
        <v>622</v>
      </c>
      <c r="C36" s="232"/>
      <c r="D36" s="232"/>
      <c r="E36" s="234"/>
      <c r="F36" s="234">
        <v>52500</v>
      </c>
      <c r="G36" s="234">
        <v>52500</v>
      </c>
      <c r="H36" s="234">
        <v>52500</v>
      </c>
    </row>
    <row r="37" spans="1:8" s="300" customFormat="1" ht="37.5" x14ac:dyDescent="0.3">
      <c r="A37" s="107"/>
      <c r="B37" s="410" t="s">
        <v>602</v>
      </c>
      <c r="C37" s="232"/>
      <c r="D37" s="232"/>
      <c r="E37" s="234"/>
      <c r="F37" s="234">
        <v>21000</v>
      </c>
      <c r="G37" s="234">
        <v>21000</v>
      </c>
      <c r="H37" s="234">
        <v>21000</v>
      </c>
    </row>
    <row r="38" spans="1:8" s="300" customFormat="1" ht="37.5" x14ac:dyDescent="0.3">
      <c r="A38" s="107"/>
      <c r="B38" s="410" t="s">
        <v>623</v>
      </c>
      <c r="C38" s="232"/>
      <c r="D38" s="232"/>
      <c r="E38" s="234"/>
      <c r="F38" s="234">
        <v>100000</v>
      </c>
      <c r="G38" s="234">
        <v>100000</v>
      </c>
      <c r="H38" s="234">
        <v>100000</v>
      </c>
    </row>
    <row r="39" spans="1:8" s="300" customFormat="1" x14ac:dyDescent="0.3">
      <c r="A39" s="107"/>
      <c r="B39" s="410" t="s">
        <v>624</v>
      </c>
      <c r="C39" s="232"/>
      <c r="D39" s="232"/>
      <c r="E39" s="234"/>
      <c r="F39" s="234">
        <v>12000</v>
      </c>
      <c r="G39" s="234">
        <v>12000</v>
      </c>
      <c r="H39" s="234">
        <v>12000</v>
      </c>
    </row>
    <row r="40" spans="1:8" s="300" customFormat="1" x14ac:dyDescent="0.3">
      <c r="A40" s="107"/>
      <c r="B40" s="410" t="s">
        <v>603</v>
      </c>
      <c r="C40" s="232"/>
      <c r="D40" s="232"/>
      <c r="E40" s="234"/>
      <c r="F40" s="234"/>
      <c r="G40" s="234">
        <v>10000</v>
      </c>
      <c r="H40" s="234">
        <v>10000</v>
      </c>
    </row>
    <row r="41" spans="1:8" s="300" customFormat="1" ht="56.25" x14ac:dyDescent="0.3">
      <c r="A41" s="107"/>
      <c r="B41" s="410" t="s">
        <v>625</v>
      </c>
      <c r="C41" s="232"/>
      <c r="D41" s="232"/>
      <c r="E41" s="234"/>
      <c r="F41" s="234"/>
      <c r="G41" s="234">
        <v>190000</v>
      </c>
      <c r="H41" s="234">
        <v>190000</v>
      </c>
    </row>
    <row r="42" spans="1:8" s="300" customFormat="1" x14ac:dyDescent="0.3">
      <c r="A42" s="107"/>
      <c r="B42" s="410" t="s">
        <v>626</v>
      </c>
      <c r="C42" s="232"/>
      <c r="D42" s="232"/>
      <c r="E42" s="234"/>
      <c r="F42" s="234"/>
      <c r="G42" s="234">
        <v>82000</v>
      </c>
      <c r="H42" s="234">
        <v>82000</v>
      </c>
    </row>
    <row r="43" spans="1:8" s="300" customFormat="1" ht="37.5" x14ac:dyDescent="0.3">
      <c r="A43" s="107"/>
      <c r="B43" s="410" t="s">
        <v>627</v>
      </c>
      <c r="C43" s="232"/>
      <c r="D43" s="232"/>
      <c r="E43" s="234"/>
      <c r="F43" s="234"/>
      <c r="G43" s="234">
        <v>42000</v>
      </c>
      <c r="H43" s="234">
        <v>42000</v>
      </c>
    </row>
    <row r="44" spans="1:8" s="300" customFormat="1" ht="37.5" x14ac:dyDescent="0.3">
      <c r="A44" s="107"/>
      <c r="B44" s="412" t="s">
        <v>628</v>
      </c>
      <c r="C44" s="232"/>
      <c r="D44" s="232"/>
      <c r="E44" s="234"/>
      <c r="F44" s="234"/>
      <c r="G44" s="234"/>
      <c r="H44" s="234">
        <v>70000</v>
      </c>
    </row>
    <row r="45" spans="1:8" s="300" customFormat="1" ht="37.5" x14ac:dyDescent="0.3">
      <c r="A45" s="107"/>
      <c r="B45" s="411" t="s">
        <v>629</v>
      </c>
      <c r="C45" s="232"/>
      <c r="D45" s="232"/>
      <c r="E45" s="234"/>
      <c r="F45" s="234">
        <v>24000</v>
      </c>
      <c r="G45" s="234">
        <v>24000</v>
      </c>
      <c r="H45" s="234">
        <v>24000</v>
      </c>
    </row>
    <row r="46" spans="1:8" s="300" customFormat="1" x14ac:dyDescent="0.3">
      <c r="A46" s="107"/>
      <c r="B46" s="108"/>
      <c r="C46" s="232"/>
      <c r="D46" s="232"/>
      <c r="E46" s="234"/>
      <c r="F46" s="234"/>
      <c r="G46" s="234"/>
      <c r="H46" s="234"/>
    </row>
    <row r="47" spans="1:8" ht="37.5" x14ac:dyDescent="0.3">
      <c r="A47" s="303">
        <v>53120</v>
      </c>
      <c r="B47" s="309" t="s">
        <v>300</v>
      </c>
      <c r="C47" s="297"/>
      <c r="D47" s="297">
        <v>0</v>
      </c>
      <c r="E47" s="297">
        <f ca="1">SUM(OFFSET(E50,-1,0):OFFSET(E47,1,0))</f>
        <v>0</v>
      </c>
      <c r="F47" s="297">
        <f ca="1">SUM(OFFSET(F50,-1,0):OFFSET(F47,1,0))</f>
        <v>0</v>
      </c>
      <c r="G47" s="297">
        <f ca="1">SUM(OFFSET(G50,-1,0):OFFSET(G47,1,0))</f>
        <v>0</v>
      </c>
      <c r="H47" s="297">
        <f ca="1">SUM(OFFSET(H50,-1,0):OFFSET(H47,1,0))</f>
        <v>0</v>
      </c>
    </row>
    <row r="48" spans="1:8" s="300" customFormat="1" hidden="1" x14ac:dyDescent="0.3">
      <c r="A48" s="107"/>
      <c r="B48" s="108"/>
      <c r="C48" s="232"/>
      <c r="D48" s="232"/>
      <c r="E48" s="234"/>
      <c r="F48" s="234"/>
      <c r="G48" s="234"/>
      <c r="H48" s="234"/>
    </row>
    <row r="49" spans="1:8" s="300" customFormat="1" x14ac:dyDescent="0.3">
      <c r="A49" s="107"/>
      <c r="B49" s="108"/>
      <c r="C49" s="232"/>
      <c r="D49" s="232"/>
      <c r="E49" s="234"/>
      <c r="F49" s="234"/>
      <c r="G49" s="234"/>
      <c r="H49" s="234"/>
    </row>
    <row r="50" spans="1:8" ht="22.5" x14ac:dyDescent="0.3">
      <c r="A50" s="303">
        <v>53200</v>
      </c>
      <c r="B50" s="304" t="s">
        <v>569</v>
      </c>
      <c r="C50" s="297">
        <f ca="1">SUM(OFFSET(C53,-1,0):OFFSET(C50,1,0))</f>
        <v>0</v>
      </c>
      <c r="D50" s="297">
        <f ca="1">SUM(OFFSET(D53,-1,0):OFFSET(D50,1,0))</f>
        <v>0</v>
      </c>
      <c r="E50" s="297">
        <f ca="1">SUM(OFFSET(E53,-1,0):OFFSET(E50,1,0))</f>
        <v>0</v>
      </c>
      <c r="F50" s="297">
        <f ca="1">SUM(OFFSET(F53,-1,0):OFFSET(F50,1,0))</f>
        <v>0</v>
      </c>
      <c r="G50" s="297">
        <f ca="1">SUM(OFFSET(G53,-1,0):OFFSET(G50,1,0))</f>
        <v>0</v>
      </c>
      <c r="H50" s="297">
        <f ca="1">SUM(OFFSET(H53,-1,0):OFFSET(H50,1,0))</f>
        <v>0</v>
      </c>
    </row>
    <row r="51" spans="1:8" s="300" customFormat="1" hidden="1" x14ac:dyDescent="0.3">
      <c r="A51" s="107"/>
      <c r="B51" s="109"/>
      <c r="C51" s="232"/>
      <c r="D51" s="232"/>
      <c r="E51" s="234"/>
      <c r="F51" s="234"/>
      <c r="G51" s="234"/>
      <c r="H51" s="234"/>
    </row>
    <row r="52" spans="1:8" s="300" customFormat="1" x14ac:dyDescent="0.3">
      <c r="A52" s="107"/>
      <c r="B52" s="109"/>
      <c r="C52" s="232"/>
      <c r="D52" s="232"/>
      <c r="E52" s="234"/>
      <c r="F52" s="234"/>
      <c r="G52" s="234"/>
      <c r="H52" s="234"/>
    </row>
    <row r="53" spans="1:8" ht="22.5" x14ac:dyDescent="0.3">
      <c r="A53" s="303">
        <v>53300</v>
      </c>
      <c r="B53" s="304" t="s">
        <v>570</v>
      </c>
      <c r="C53" s="297"/>
      <c r="D53" s="297">
        <v>8017</v>
      </c>
      <c r="E53" s="297">
        <f>E54+E55</f>
        <v>41000</v>
      </c>
      <c r="F53" s="297">
        <f t="shared" ref="F53:G53" si="1">F54+F55</f>
        <v>111000</v>
      </c>
      <c r="G53" s="297">
        <f t="shared" si="1"/>
        <v>111000</v>
      </c>
      <c r="H53" s="297">
        <f>H54+H55</f>
        <v>111000</v>
      </c>
    </row>
    <row r="54" spans="1:8" s="300" customFormat="1" ht="37.5" x14ac:dyDescent="0.3">
      <c r="A54" s="107"/>
      <c r="B54" s="162" t="s">
        <v>630</v>
      </c>
      <c r="C54" s="232"/>
      <c r="D54" s="232"/>
      <c r="E54" s="234">
        <v>41000</v>
      </c>
      <c r="F54" s="234">
        <v>41000</v>
      </c>
      <c r="G54" s="234">
        <v>41000</v>
      </c>
      <c r="H54" s="234">
        <v>41000</v>
      </c>
    </row>
    <row r="55" spans="1:8" s="300" customFormat="1" x14ac:dyDescent="0.3">
      <c r="A55" s="107"/>
      <c r="B55" s="162" t="s">
        <v>631</v>
      </c>
      <c r="C55" s="232"/>
      <c r="D55" s="232"/>
      <c r="E55" s="234"/>
      <c r="F55" s="234">
        <v>70000</v>
      </c>
      <c r="G55" s="234">
        <v>70000</v>
      </c>
      <c r="H55" s="234">
        <v>70000</v>
      </c>
    </row>
    <row r="56" spans="1:8" ht="41.25" x14ac:dyDescent="0.3">
      <c r="A56" s="305">
        <v>53400</v>
      </c>
      <c r="B56" s="306" t="s">
        <v>571</v>
      </c>
      <c r="C56" s="389">
        <v>21950</v>
      </c>
      <c r="D56" s="389">
        <v>44907</v>
      </c>
      <c r="E56" s="389">
        <f>SUM(E57:E68)</f>
        <v>15357</v>
      </c>
      <c r="F56" s="389">
        <f t="shared" ref="F56" si="2">SUM(F57:F68)</f>
        <v>21115</v>
      </c>
      <c r="G56" s="389">
        <f>SUM(G57:G68)</f>
        <v>26872</v>
      </c>
      <c r="H56" s="389">
        <f>SUM(H57:H68)</f>
        <v>39300</v>
      </c>
    </row>
    <row r="57" spans="1:8" s="300" customFormat="1" ht="37.5" x14ac:dyDescent="0.3">
      <c r="A57" s="207"/>
      <c r="B57" s="413" t="s">
        <v>632</v>
      </c>
      <c r="C57" s="232"/>
      <c r="D57" s="232"/>
      <c r="E57" s="234"/>
      <c r="F57" s="234"/>
      <c r="G57" s="234"/>
      <c r="H57" s="234">
        <v>2200</v>
      </c>
    </row>
    <row r="58" spans="1:8" s="300" customFormat="1" ht="37.5" x14ac:dyDescent="0.3">
      <c r="A58" s="207"/>
      <c r="B58" s="413" t="s">
        <v>633</v>
      </c>
      <c r="C58" s="232"/>
      <c r="D58" s="232"/>
      <c r="E58" s="234"/>
      <c r="F58" s="234"/>
      <c r="G58" s="234"/>
      <c r="H58" s="234">
        <v>4500</v>
      </c>
    </row>
    <row r="59" spans="1:8" s="300" customFormat="1" ht="37.5" x14ac:dyDescent="0.3">
      <c r="A59" s="207"/>
      <c r="B59" s="413" t="s">
        <v>634</v>
      </c>
      <c r="C59" s="232"/>
      <c r="D59" s="232"/>
      <c r="E59" s="234">
        <v>2400</v>
      </c>
      <c r="F59" s="234">
        <v>2400</v>
      </c>
      <c r="G59" s="234">
        <v>2400</v>
      </c>
      <c r="H59" s="234">
        <v>2400</v>
      </c>
    </row>
    <row r="60" spans="1:8" s="300" customFormat="1" ht="37.5" x14ac:dyDescent="0.3">
      <c r="A60" s="207"/>
      <c r="B60" s="413" t="s">
        <v>635</v>
      </c>
      <c r="C60" s="232"/>
      <c r="D60" s="232"/>
      <c r="E60" s="234">
        <v>2800</v>
      </c>
      <c r="F60" s="234">
        <v>2800</v>
      </c>
      <c r="G60" s="234">
        <v>2800</v>
      </c>
      <c r="H60" s="234">
        <v>2800</v>
      </c>
    </row>
    <row r="61" spans="1:8" s="300" customFormat="1" x14ac:dyDescent="0.3">
      <c r="A61" s="207"/>
      <c r="B61" s="413" t="s">
        <v>636</v>
      </c>
      <c r="C61" s="232"/>
      <c r="D61" s="232"/>
      <c r="E61" s="234">
        <v>1700</v>
      </c>
      <c r="F61" s="234">
        <v>1700</v>
      </c>
      <c r="G61" s="234">
        <v>1700</v>
      </c>
      <c r="H61" s="234">
        <v>1700</v>
      </c>
    </row>
    <row r="62" spans="1:8" s="300" customFormat="1" x14ac:dyDescent="0.3">
      <c r="A62" s="207"/>
      <c r="B62" s="413" t="s">
        <v>604</v>
      </c>
      <c r="C62" s="232"/>
      <c r="D62" s="232"/>
      <c r="E62" s="234">
        <v>720</v>
      </c>
      <c r="F62" s="234">
        <v>1440</v>
      </c>
      <c r="G62" s="234">
        <v>2160</v>
      </c>
      <c r="H62" s="234">
        <v>2850</v>
      </c>
    </row>
    <row r="63" spans="1:8" s="300" customFormat="1" x14ac:dyDescent="0.3">
      <c r="A63" s="207"/>
      <c r="B63" s="413" t="s">
        <v>637</v>
      </c>
      <c r="C63" s="232"/>
      <c r="D63" s="232"/>
      <c r="E63" s="234">
        <v>1425</v>
      </c>
      <c r="F63" s="234">
        <v>2850</v>
      </c>
      <c r="G63" s="234">
        <v>4275</v>
      </c>
      <c r="H63" s="234">
        <v>5700</v>
      </c>
    </row>
    <row r="64" spans="1:8" s="300" customFormat="1" x14ac:dyDescent="0.3">
      <c r="A64" s="207"/>
      <c r="B64" s="413" t="s">
        <v>638</v>
      </c>
      <c r="C64" s="232"/>
      <c r="D64" s="232"/>
      <c r="E64" s="234">
        <v>1500</v>
      </c>
      <c r="F64" s="234">
        <v>1500</v>
      </c>
      <c r="G64" s="234">
        <v>1500</v>
      </c>
      <c r="H64" s="234">
        <v>1500</v>
      </c>
    </row>
    <row r="65" spans="1:8" s="300" customFormat="1" x14ac:dyDescent="0.3">
      <c r="A65" s="207"/>
      <c r="B65" s="413" t="s">
        <v>605</v>
      </c>
      <c r="C65" s="232"/>
      <c r="D65" s="232"/>
      <c r="E65" s="234">
        <v>1200</v>
      </c>
      <c r="F65" s="234">
        <v>2400</v>
      </c>
      <c r="G65" s="234">
        <v>3600</v>
      </c>
      <c r="H65" s="234">
        <v>4800</v>
      </c>
    </row>
    <row r="66" spans="1:8" s="300" customFormat="1" x14ac:dyDescent="0.3">
      <c r="A66" s="207"/>
      <c r="B66" s="413" t="s">
        <v>639</v>
      </c>
      <c r="C66" s="232"/>
      <c r="D66" s="232"/>
      <c r="E66" s="234">
        <v>1100</v>
      </c>
      <c r="F66" s="234">
        <v>2200</v>
      </c>
      <c r="G66" s="234">
        <v>3300</v>
      </c>
      <c r="H66" s="234">
        <v>4400</v>
      </c>
    </row>
    <row r="67" spans="1:8" s="300" customFormat="1" x14ac:dyDescent="0.3">
      <c r="A67" s="207"/>
      <c r="B67" s="413" t="s">
        <v>640</v>
      </c>
      <c r="C67" s="232"/>
      <c r="D67" s="232"/>
      <c r="E67" s="234">
        <v>1200</v>
      </c>
      <c r="F67" s="234">
        <v>1200</v>
      </c>
      <c r="G67" s="234">
        <v>1200</v>
      </c>
      <c r="H67" s="234">
        <v>1200</v>
      </c>
    </row>
    <row r="68" spans="1:8" s="300" customFormat="1" x14ac:dyDescent="0.3">
      <c r="A68" s="207"/>
      <c r="B68" s="413" t="s">
        <v>641</v>
      </c>
      <c r="C68" s="232">
        <v>0</v>
      </c>
      <c r="D68" s="232">
        <v>0</v>
      </c>
      <c r="E68" s="234">
        <v>1312</v>
      </c>
      <c r="F68" s="234">
        <v>2625</v>
      </c>
      <c r="G68" s="234">
        <v>3937</v>
      </c>
      <c r="H68" s="234">
        <v>5250</v>
      </c>
    </row>
    <row r="69" spans="1:8" ht="41.25" hidden="1" x14ac:dyDescent="0.3">
      <c r="A69" s="414">
        <v>53500</v>
      </c>
      <c r="B69" s="415" t="s">
        <v>572</v>
      </c>
      <c r="C69" s="416">
        <f ca="1">SUM(OFFSET(C72,-1,0):OFFSET(C69,1,0))</f>
        <v>0</v>
      </c>
      <c r="D69" s="416">
        <f ca="1">SUM(OFFSET(D72,-1,0):OFFSET(D69,1,0))</f>
        <v>0</v>
      </c>
      <c r="E69" s="416">
        <f ca="1">SUM(OFFSET(E72,-1,0):OFFSET(E69,1,0))</f>
        <v>0</v>
      </c>
      <c r="F69" s="416">
        <f ca="1">SUM(OFFSET(F72,-1,0):OFFSET(F69,1,0))</f>
        <v>0</v>
      </c>
      <c r="G69" s="416">
        <f ca="1">SUM(OFFSET(G72,-1,0):OFFSET(G69,1,0))</f>
        <v>0</v>
      </c>
      <c r="H69" s="416">
        <f ca="1">SUM(OFFSET(H72,-1,0):OFFSET(H69,1,0))</f>
        <v>0</v>
      </c>
    </row>
    <row r="70" spans="1:8" s="300" customFormat="1" hidden="1" x14ac:dyDescent="0.3">
      <c r="A70" s="107"/>
      <c r="B70" s="109"/>
      <c r="C70" s="232"/>
      <c r="D70" s="232"/>
      <c r="E70" s="234"/>
      <c r="F70" s="234"/>
      <c r="G70" s="234"/>
      <c r="H70" s="234"/>
    </row>
    <row r="71" spans="1:8" s="300" customFormat="1" hidden="1" x14ac:dyDescent="0.3">
      <c r="A71" s="111"/>
      <c r="B71" s="112"/>
      <c r="C71" s="232"/>
      <c r="D71" s="232"/>
      <c r="E71" s="234"/>
      <c r="F71" s="234"/>
      <c r="G71" s="234"/>
      <c r="H71" s="234"/>
    </row>
    <row r="72" spans="1:8" ht="41.25" hidden="1" x14ac:dyDescent="0.3">
      <c r="A72" s="305">
        <v>53600</v>
      </c>
      <c r="B72" s="306" t="s">
        <v>573</v>
      </c>
      <c r="C72" s="297">
        <f ca="1">SUM(OFFSET(C75,-1,0):OFFSET(C72,1,0))</f>
        <v>0</v>
      </c>
      <c r="D72" s="297">
        <f ca="1">SUM(OFFSET(D75,-1,0):OFFSET(D72,1,0))</f>
        <v>0</v>
      </c>
      <c r="E72" s="297">
        <f ca="1">SUM(OFFSET(E75,-1,0):OFFSET(E72,1,0))</f>
        <v>0</v>
      </c>
      <c r="F72" s="297">
        <f ca="1">SUM(OFFSET(F75,-1,0):OFFSET(F72,1,0))</f>
        <v>0</v>
      </c>
      <c r="G72" s="297">
        <f ca="1">SUM(OFFSET(G75,-1,0):OFFSET(G72,1,0))</f>
        <v>0</v>
      </c>
      <c r="H72" s="297">
        <f ca="1">SUM(OFFSET(H75,-1,0):OFFSET(H72,1,0))</f>
        <v>0</v>
      </c>
    </row>
    <row r="73" spans="1:8" s="300" customFormat="1" hidden="1" x14ac:dyDescent="0.3">
      <c r="A73" s="105"/>
      <c r="B73" s="106"/>
      <c r="C73" s="232"/>
      <c r="D73" s="232"/>
      <c r="E73" s="234"/>
      <c r="F73" s="234"/>
      <c r="G73" s="234"/>
      <c r="H73" s="234"/>
    </row>
    <row r="74" spans="1:8" s="300" customFormat="1" hidden="1" x14ac:dyDescent="0.3">
      <c r="A74" s="105"/>
      <c r="B74" s="106"/>
      <c r="C74" s="232"/>
      <c r="D74" s="232"/>
      <c r="E74" s="234"/>
      <c r="F74" s="234"/>
      <c r="G74" s="234"/>
      <c r="H74" s="234"/>
    </row>
    <row r="75" spans="1:8" x14ac:dyDescent="0.3">
      <c r="A75" s="166">
        <v>50000</v>
      </c>
      <c r="B75" s="148" t="s">
        <v>298</v>
      </c>
      <c r="C75" s="310">
        <f t="shared" ref="C75:G75" ca="1" si="3">C3+C24+C16</f>
        <v>898524</v>
      </c>
      <c r="D75" s="310">
        <f t="shared" ca="1" si="3"/>
        <v>1338102</v>
      </c>
      <c r="E75" s="310">
        <f t="shared" ca="1" si="3"/>
        <v>476214</v>
      </c>
      <c r="F75" s="310">
        <f t="shared" ca="1" si="3"/>
        <v>881115</v>
      </c>
      <c r="G75" s="310">
        <f t="shared" ca="1" si="3"/>
        <v>1210872</v>
      </c>
      <c r="H75" s="310">
        <f ca="1">H3+H24+H16</f>
        <v>1293300</v>
      </c>
    </row>
    <row r="76" spans="1:8" x14ac:dyDescent="0.3">
      <c r="A76" s="311"/>
      <c r="B76" s="312"/>
      <c r="C76" s="313"/>
    </row>
    <row r="77" spans="1:8" x14ac:dyDescent="0.3">
      <c r="A77" s="314" t="s">
        <v>294</v>
      </c>
      <c r="B77" s="315"/>
      <c r="C77" s="315"/>
      <c r="D77" s="315"/>
    </row>
    <row r="78" spans="1:8" ht="61.5" customHeight="1" x14ac:dyDescent="0.3">
      <c r="A78" s="450" t="s">
        <v>587</v>
      </c>
      <c r="B78" s="451"/>
      <c r="C78" s="451"/>
      <c r="D78" s="451"/>
    </row>
    <row r="79" spans="1:8" x14ac:dyDescent="0.3">
      <c r="A79" s="450" t="s">
        <v>545</v>
      </c>
      <c r="B79" s="451"/>
      <c r="C79" s="451"/>
      <c r="D79" s="451"/>
    </row>
    <row r="80" spans="1:8" x14ac:dyDescent="0.3">
      <c r="A80" s="452" t="s">
        <v>546</v>
      </c>
      <c r="B80" s="453"/>
      <c r="C80" s="453"/>
      <c r="D80" s="453"/>
    </row>
    <row r="81" spans="1:4" x14ac:dyDescent="0.3">
      <c r="A81" s="452" t="s">
        <v>547</v>
      </c>
      <c r="B81" s="453"/>
      <c r="C81" s="453"/>
      <c r="D81" s="453"/>
    </row>
    <row r="82" spans="1:4" x14ac:dyDescent="0.3">
      <c r="A82" s="450" t="s">
        <v>548</v>
      </c>
      <c r="B82" s="451"/>
      <c r="C82" s="451"/>
      <c r="D82" s="451"/>
    </row>
    <row r="83" spans="1:4" x14ac:dyDescent="0.3">
      <c r="A83" s="450" t="s">
        <v>549</v>
      </c>
      <c r="B83" s="451"/>
      <c r="C83" s="451"/>
      <c r="D83" s="451"/>
    </row>
    <row r="84" spans="1:4" x14ac:dyDescent="0.3">
      <c r="A84" s="316" t="s">
        <v>550</v>
      </c>
    </row>
    <row r="85" spans="1:4" x14ac:dyDescent="0.3">
      <c r="A85" s="450" t="s">
        <v>551</v>
      </c>
      <c r="B85" s="451"/>
      <c r="C85" s="451"/>
      <c r="D85" s="451"/>
    </row>
    <row r="86" spans="1:4" x14ac:dyDescent="0.3">
      <c r="A86" s="452" t="s">
        <v>552</v>
      </c>
      <c r="B86" s="453"/>
      <c r="C86" s="453"/>
      <c r="D86" s="453"/>
    </row>
    <row r="87" spans="1:4" x14ac:dyDescent="0.3">
      <c r="A87" s="450" t="s">
        <v>553</v>
      </c>
      <c r="B87" s="451"/>
      <c r="C87" s="451"/>
      <c r="D87" s="451"/>
    </row>
    <row r="88" spans="1:4" x14ac:dyDescent="0.3">
      <c r="A88" s="450" t="s">
        <v>554</v>
      </c>
      <c r="B88" s="451"/>
      <c r="C88" s="451"/>
      <c r="D88" s="451"/>
    </row>
    <row r="89" spans="1:4" x14ac:dyDescent="0.3">
      <c r="A89" s="450" t="s">
        <v>555</v>
      </c>
      <c r="B89" s="451"/>
      <c r="C89" s="451"/>
      <c r="D89" s="451"/>
    </row>
    <row r="90" spans="1:4" x14ac:dyDescent="0.3">
      <c r="A90" s="450" t="s">
        <v>556</v>
      </c>
      <c r="B90" s="451"/>
      <c r="C90" s="451"/>
      <c r="D90" s="451"/>
    </row>
    <row r="91" spans="1:4" x14ac:dyDescent="0.3">
      <c r="A91" s="450" t="s">
        <v>557</v>
      </c>
      <c r="B91" s="451"/>
      <c r="C91" s="451"/>
      <c r="D91" s="451"/>
    </row>
    <row r="92" spans="1:4" x14ac:dyDescent="0.3">
      <c r="A92" s="450" t="s">
        <v>558</v>
      </c>
      <c r="B92" s="451"/>
      <c r="C92" s="451"/>
      <c r="D92" s="451"/>
    </row>
    <row r="93" spans="1:4" x14ac:dyDescent="0.3">
      <c r="A93" s="454" t="s">
        <v>544</v>
      </c>
      <c r="B93" s="454"/>
      <c r="C93" s="454"/>
      <c r="D93" s="454"/>
    </row>
    <row r="94" spans="1:4" x14ac:dyDescent="0.3">
      <c r="A94" s="340"/>
      <c r="B94" s="340"/>
      <c r="C94" s="340"/>
      <c r="D94" s="340"/>
    </row>
  </sheetData>
  <mergeCells count="15">
    <mergeCell ref="A89:D89"/>
    <mergeCell ref="A90:D90"/>
    <mergeCell ref="A91:D91"/>
    <mergeCell ref="A92:D92"/>
    <mergeCell ref="A93:D93"/>
    <mergeCell ref="A83:D83"/>
    <mergeCell ref="A85:D85"/>
    <mergeCell ref="A86:D86"/>
    <mergeCell ref="A87:D87"/>
    <mergeCell ref="A88:D88"/>
    <mergeCell ref="A78:D78"/>
    <mergeCell ref="A79:D79"/>
    <mergeCell ref="A80:D80"/>
    <mergeCell ref="A81:D81"/>
    <mergeCell ref="A82:D82"/>
  </mergeCells>
  <pageMargins left="0.7" right="0.7" top="0.75" bottom="0.75" header="0.3" footer="0.3"/>
  <pageSetup paperSize="9" scale="6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2</vt:i4>
      </vt:variant>
    </vt:vector>
  </HeadingPairs>
  <TitlesOfParts>
    <vt:vector size="8" baseType="lpstr">
      <vt:lpstr>Budžeta_tāme</vt:lpstr>
      <vt:lpstr>Naudas plūsma</vt:lpstr>
      <vt:lpstr>Naturālie_rādītāji</vt:lpstr>
      <vt:lpstr>PZ_aprēķins</vt:lpstr>
      <vt:lpstr>Bilance</vt:lpstr>
      <vt:lpstr>Ieguldījumu_tāme</vt:lpstr>
      <vt:lpstr>Bilance!Drukas_apgabals</vt:lpstr>
      <vt:lpstr>Budžeta_tāme!Drukas_apgabals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Dzintra Perevertailo</cp:lastModifiedBy>
  <cp:lastPrinted>2022-02-25T10:00:05Z</cp:lastPrinted>
  <dcterms:created xsi:type="dcterms:W3CDTF">2015-06-08T06:33:04Z</dcterms:created>
  <dcterms:modified xsi:type="dcterms:W3CDTF">2022-03-31T06:57:40Z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