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Šī_darbgrāmata"/>
  <mc:AlternateContent xmlns:mc="http://schemas.openxmlformats.org/markup-compatibility/2006">
    <mc:Choice Requires="x15">
      <x15ac:absPath xmlns:x15ac="http://schemas.microsoft.com/office/spreadsheetml/2010/11/ac" url="https://traumas-my.sharepoint.com/personal/anita_vaivode_tos_lv/Documents/Dokumenti/2022/Budžets/"/>
    </mc:Choice>
  </mc:AlternateContent>
  <xr:revisionPtr revIDLastSave="0" documentId="8_{C2E3DEDC-95FD-4888-9176-ACA89D8BB52F}" xr6:coauthVersionLast="47" xr6:coauthVersionMax="47" xr10:uidLastSave="{00000000-0000-0000-0000-000000000000}"/>
  <bookViews>
    <workbookView xWindow="-120" yWindow="-120" windowWidth="29040" windowHeight="15840" activeTab="6" xr2:uid="{00000000-000D-0000-FFFF-FFFF00000000}"/>
  </bookViews>
  <sheets>
    <sheet name="Budžeta_tāme" sheetId="2" r:id="rId1"/>
    <sheet name="PZ_aprēķins" sheetId="12" r:id="rId2"/>
    <sheet name="Bilance" sheetId="11" r:id="rId3"/>
    <sheet name="Naudas_plūsma" sheetId="5" r:id="rId4"/>
    <sheet name="Naturālie_rādītāji" sheetId="10" r:id="rId5"/>
    <sheet name="Ieguldījumu tāme" sheetId="16" r:id="rId6"/>
    <sheet name="Kreditori_Debitori" sheetId="14" r:id="rId7"/>
  </sheets>
  <externalReferences>
    <externalReference r:id="rId8"/>
  </externalReferences>
  <definedNames>
    <definedName name="dff">#NAME?</definedName>
    <definedName name="_xlnm.Print_Area" localSheetId="2">Bilance!$A$1:$M$55</definedName>
    <definedName name="_xlnm.Print_Area" localSheetId="0">Budžeta_tāme!$A$1:$M$33</definedName>
    <definedName name="_xlnm.Print_Area" localSheetId="6">Kreditori_Debitori!$A$1:$C$116</definedName>
    <definedName name="_xlnm.Print_Area" localSheetId="4">Naturālie_rādītāji!$A$1:$M$106</definedName>
    <definedName name="_xlnm.Print_Area" localSheetId="3">Naudas_plūsma!#REF!</definedName>
    <definedName name="_xlnm.Print_Area" localSheetId="1">PZ_aprēķins!#REF!</definedName>
    <definedName name="_xlnm.Print_Titles" localSheetId="4">Naturālie_rādītāji!$1:$2</definedName>
    <definedName name="hh" localSheetId="4">#REF!</definedName>
    <definedName name="hh">#REF!</definedName>
    <definedName name="izm.kods" localSheetId="4">#REF!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14" l="1"/>
  <c r="E84" i="14"/>
  <c r="D84" i="14"/>
  <c r="K140" i="5"/>
  <c r="L140" i="5" s="1"/>
  <c r="K139" i="5"/>
  <c r="L139" i="5" s="1"/>
  <c r="K138" i="5"/>
  <c r="L138" i="5" s="1"/>
  <c r="K137" i="5"/>
  <c r="L137" i="5" s="1"/>
  <c r="K136" i="5"/>
  <c r="L136" i="5" s="1"/>
  <c r="K135" i="5"/>
  <c r="L135" i="5" s="1"/>
  <c r="K134" i="5"/>
  <c r="L134" i="5" s="1"/>
  <c r="K132" i="5"/>
  <c r="L132" i="5" s="1"/>
  <c r="K131" i="5"/>
  <c r="L131" i="5" s="1"/>
  <c r="K129" i="5"/>
  <c r="L129" i="5" s="1"/>
  <c r="K128" i="5"/>
  <c r="L128" i="5" s="1"/>
  <c r="K127" i="5"/>
  <c r="L127" i="5" s="1"/>
  <c r="K126" i="5"/>
  <c r="L126" i="5" s="1"/>
  <c r="K125" i="5"/>
  <c r="L125" i="5" s="1"/>
  <c r="K124" i="5"/>
  <c r="L124" i="5" s="1"/>
  <c r="K122" i="5"/>
  <c r="L122" i="5" s="1"/>
  <c r="L121" i="5"/>
  <c r="K119" i="5"/>
  <c r="L119" i="5" s="1"/>
  <c r="L118" i="5"/>
  <c r="K118" i="5"/>
  <c r="L116" i="5"/>
  <c r="K116" i="5"/>
  <c r="K115" i="5"/>
  <c r="L115" i="5" s="1"/>
  <c r="K113" i="5"/>
  <c r="L113" i="5" s="1"/>
  <c r="L112" i="5"/>
  <c r="K112" i="5"/>
  <c r="K109" i="5"/>
  <c r="L109" i="5" s="1"/>
  <c r="K108" i="5"/>
  <c r="L108" i="5" s="1"/>
  <c r="L106" i="5"/>
  <c r="K104" i="5"/>
  <c r="L104" i="5" s="1"/>
  <c r="K103" i="5"/>
  <c r="L103" i="5" s="1"/>
  <c r="L102" i="5"/>
  <c r="K102" i="5"/>
  <c r="K101" i="5"/>
  <c r="L101" i="5" s="1"/>
  <c r="K100" i="5"/>
  <c r="L100" i="5" s="1"/>
  <c r="K99" i="5"/>
  <c r="L99" i="5" s="1"/>
  <c r="K97" i="5"/>
  <c r="L97" i="5" s="1"/>
  <c r="L96" i="5"/>
  <c r="K96" i="5"/>
  <c r="K94" i="5"/>
  <c r="L94" i="5" s="1"/>
  <c r="K93" i="5"/>
  <c r="L93" i="5" s="1"/>
  <c r="K91" i="5"/>
  <c r="L91" i="5" s="1"/>
  <c r="L90" i="5"/>
  <c r="K90" i="5"/>
  <c r="K87" i="5"/>
  <c r="L87" i="5" s="1"/>
  <c r="K86" i="5"/>
  <c r="L86" i="5" s="1"/>
  <c r="L84" i="5"/>
  <c r="K84" i="5"/>
  <c r="K83" i="5"/>
  <c r="L83" i="5" s="1"/>
  <c r="K81" i="5"/>
  <c r="L81" i="5" s="1"/>
  <c r="K80" i="5"/>
  <c r="L80" i="5" s="1"/>
  <c r="L78" i="5"/>
  <c r="K78" i="5"/>
  <c r="K77" i="5"/>
  <c r="L77" i="5" s="1"/>
  <c r="K75" i="5"/>
  <c r="L75" i="5" s="1"/>
  <c r="K74" i="5"/>
  <c r="L74" i="5" s="1"/>
  <c r="K71" i="5"/>
  <c r="L71" i="5" s="1"/>
  <c r="K70" i="5"/>
  <c r="L70" i="5" s="1"/>
  <c r="K68" i="5"/>
  <c r="L68" i="5" s="1"/>
  <c r="K67" i="5"/>
  <c r="L67" i="5" s="1"/>
  <c r="K65" i="5"/>
  <c r="L65" i="5" s="1"/>
  <c r="K64" i="5"/>
  <c r="L64" i="5" s="1"/>
  <c r="K62" i="5"/>
  <c r="L62" i="5" s="1"/>
  <c r="K61" i="5"/>
  <c r="L61" i="5" s="1"/>
  <c r="K59" i="5"/>
  <c r="L59" i="5" s="1"/>
  <c r="K58" i="5"/>
  <c r="L58" i="5" s="1"/>
  <c r="L54" i="5"/>
  <c r="K54" i="5"/>
  <c r="G138" i="5"/>
  <c r="G39" i="5"/>
  <c r="G98" i="5"/>
  <c r="G95" i="5"/>
  <c r="G92" i="5"/>
  <c r="G89" i="5"/>
  <c r="G82" i="5"/>
  <c r="G79" i="5"/>
  <c r="G76" i="5"/>
  <c r="G73" i="5"/>
  <c r="G72" i="5"/>
  <c r="G69" i="5"/>
  <c r="K69" i="5" s="1"/>
  <c r="L69" i="5" s="1"/>
  <c r="G66" i="5"/>
  <c r="G63" i="5"/>
  <c r="G60" i="5"/>
  <c r="G57" i="5"/>
  <c r="K79" i="16"/>
  <c r="L79" i="16" s="1"/>
  <c r="H79" i="16"/>
  <c r="I79" i="16" s="1"/>
  <c r="L77" i="16"/>
  <c r="K77" i="16"/>
  <c r="H77" i="16"/>
  <c r="I77" i="16" s="1"/>
  <c r="K76" i="16"/>
  <c r="L76" i="16" s="1"/>
  <c r="I76" i="16"/>
  <c r="H76" i="16"/>
  <c r="G75" i="16"/>
  <c r="H75" i="16" s="1"/>
  <c r="I75" i="16" s="1"/>
  <c r="L74" i="16"/>
  <c r="K74" i="16"/>
  <c r="H74" i="16"/>
  <c r="I74" i="16" s="1"/>
  <c r="K73" i="16"/>
  <c r="L73" i="16" s="1"/>
  <c r="G73" i="16"/>
  <c r="G66" i="16" s="1"/>
  <c r="K72" i="16"/>
  <c r="L72" i="16" s="1"/>
  <c r="I72" i="16"/>
  <c r="H72" i="16"/>
  <c r="K71" i="16"/>
  <c r="L71" i="16" s="1"/>
  <c r="H71" i="16"/>
  <c r="I71" i="16" s="1"/>
  <c r="L70" i="16"/>
  <c r="K70" i="16"/>
  <c r="H70" i="16"/>
  <c r="I70" i="16" s="1"/>
  <c r="K69" i="16"/>
  <c r="L69" i="16" s="1"/>
  <c r="I69" i="16"/>
  <c r="H69" i="16"/>
  <c r="K68" i="16"/>
  <c r="L68" i="16" s="1"/>
  <c r="H68" i="16"/>
  <c r="I68" i="16" s="1"/>
  <c r="L67" i="16"/>
  <c r="K67" i="16"/>
  <c r="H67" i="16"/>
  <c r="I67" i="16" s="1"/>
  <c r="F66" i="16"/>
  <c r="K65" i="16"/>
  <c r="L65" i="16" s="1"/>
  <c r="G65" i="16"/>
  <c r="H65" i="16" s="1"/>
  <c r="I65" i="16" s="1"/>
  <c r="K63" i="16"/>
  <c r="L63" i="16" s="1"/>
  <c r="H63" i="16"/>
  <c r="I63" i="16" s="1"/>
  <c r="G63" i="16"/>
  <c r="G60" i="16"/>
  <c r="K60" i="16" s="1"/>
  <c r="L60" i="16" s="1"/>
  <c r="K59" i="16"/>
  <c r="L59" i="16" s="1"/>
  <c r="H59" i="16"/>
  <c r="I59" i="16" s="1"/>
  <c r="K58" i="16"/>
  <c r="L58" i="16" s="1"/>
  <c r="I58" i="16"/>
  <c r="H58" i="16"/>
  <c r="K48" i="16"/>
  <c r="L48" i="16" s="1"/>
  <c r="H48" i="16"/>
  <c r="I48" i="16" s="1"/>
  <c r="G48" i="16"/>
  <c r="K47" i="16"/>
  <c r="L47" i="16" s="1"/>
  <c r="H47" i="16"/>
  <c r="I47" i="16" s="1"/>
  <c r="L46" i="16"/>
  <c r="K46" i="16"/>
  <c r="H46" i="16"/>
  <c r="I46" i="16" s="1"/>
  <c r="K45" i="16"/>
  <c r="L45" i="16" s="1"/>
  <c r="I45" i="16"/>
  <c r="H45" i="16"/>
  <c r="K44" i="16"/>
  <c r="L44" i="16" s="1"/>
  <c r="H44" i="16"/>
  <c r="I44" i="16" s="1"/>
  <c r="L43" i="16"/>
  <c r="K43" i="16"/>
  <c r="H43" i="16"/>
  <c r="I43" i="16" s="1"/>
  <c r="K42" i="16"/>
  <c r="L42" i="16" s="1"/>
  <c r="G42" i="16"/>
  <c r="H42" i="16" s="1"/>
  <c r="I42" i="16" s="1"/>
  <c r="K41" i="16"/>
  <c r="L41" i="16" s="1"/>
  <c r="H41" i="16"/>
  <c r="I41" i="16" s="1"/>
  <c r="L40" i="16"/>
  <c r="K40" i="16"/>
  <c r="H40" i="16"/>
  <c r="I40" i="16" s="1"/>
  <c r="K39" i="16"/>
  <c r="L39" i="16" s="1"/>
  <c r="H39" i="16"/>
  <c r="I39" i="16" s="1"/>
  <c r="K38" i="16"/>
  <c r="L38" i="16" s="1"/>
  <c r="H38" i="16"/>
  <c r="I38" i="16" s="1"/>
  <c r="G37" i="16"/>
  <c r="K37" i="16" s="1"/>
  <c r="L37" i="16" s="1"/>
  <c r="L36" i="16"/>
  <c r="K36" i="16"/>
  <c r="H36" i="16"/>
  <c r="I36" i="16" s="1"/>
  <c r="K35" i="16"/>
  <c r="L35" i="16" s="1"/>
  <c r="I35" i="16"/>
  <c r="H35" i="16"/>
  <c r="G34" i="16"/>
  <c r="K34" i="16" s="1"/>
  <c r="L34" i="16" s="1"/>
  <c r="G33" i="16"/>
  <c r="K33" i="16" s="1"/>
  <c r="L33" i="16" s="1"/>
  <c r="L32" i="16"/>
  <c r="K32" i="16"/>
  <c r="H32" i="16"/>
  <c r="I32" i="16" s="1"/>
  <c r="K31" i="16"/>
  <c r="L31" i="16" s="1"/>
  <c r="I31" i="16"/>
  <c r="H31" i="16"/>
  <c r="K30" i="16"/>
  <c r="L30" i="16" s="1"/>
  <c r="H30" i="16"/>
  <c r="I30" i="16" s="1"/>
  <c r="G29" i="16"/>
  <c r="K29" i="16" s="1"/>
  <c r="L29" i="16" s="1"/>
  <c r="G28" i="16"/>
  <c r="F27" i="16"/>
  <c r="F26" i="16" s="1"/>
  <c r="F25" i="16" s="1"/>
  <c r="F80" i="16" s="1"/>
  <c r="E26" i="16"/>
  <c r="E25" i="16" s="1"/>
  <c r="K24" i="16"/>
  <c r="L24" i="16" s="1"/>
  <c r="H24" i="16"/>
  <c r="I24" i="16" s="1"/>
  <c r="L23" i="16"/>
  <c r="K23" i="16"/>
  <c r="H23" i="16"/>
  <c r="I23" i="16" s="1"/>
  <c r="K22" i="16"/>
  <c r="L22" i="16" s="1"/>
  <c r="I22" i="16"/>
  <c r="H22" i="16"/>
  <c r="K21" i="16"/>
  <c r="L21" i="16" s="1"/>
  <c r="H21" i="16"/>
  <c r="I21" i="16" s="1"/>
  <c r="L20" i="16"/>
  <c r="K20" i="16"/>
  <c r="H20" i="16"/>
  <c r="I20" i="16" s="1"/>
  <c r="K19" i="16"/>
  <c r="L19" i="16" s="1"/>
  <c r="I19" i="16"/>
  <c r="H19" i="16"/>
  <c r="K18" i="16"/>
  <c r="L18" i="16" s="1"/>
  <c r="H18" i="16"/>
  <c r="I18" i="16" s="1"/>
  <c r="G17" i="16"/>
  <c r="K17" i="16" s="1"/>
  <c r="L17" i="16" s="1"/>
  <c r="E17" i="16"/>
  <c r="L16" i="16"/>
  <c r="K16" i="16"/>
  <c r="H16" i="16"/>
  <c r="I16" i="16" s="1"/>
  <c r="K15" i="16"/>
  <c r="L15" i="16" s="1"/>
  <c r="I15" i="16"/>
  <c r="H15" i="16"/>
  <c r="K14" i="16"/>
  <c r="L14" i="16" s="1"/>
  <c r="H14" i="16"/>
  <c r="I14" i="16" s="1"/>
  <c r="L13" i="16"/>
  <c r="K13" i="16"/>
  <c r="H13" i="16"/>
  <c r="I13" i="16" s="1"/>
  <c r="K12" i="16"/>
  <c r="L12" i="16" s="1"/>
  <c r="I12" i="16"/>
  <c r="H12" i="16"/>
  <c r="H11" i="16"/>
  <c r="I11" i="16" s="1"/>
  <c r="E11" i="16"/>
  <c r="E4" i="16" s="1"/>
  <c r="L10" i="16"/>
  <c r="K10" i="16"/>
  <c r="H10" i="16"/>
  <c r="I10" i="16" s="1"/>
  <c r="K9" i="16"/>
  <c r="L9" i="16" s="1"/>
  <c r="H9" i="16"/>
  <c r="I9" i="16" s="1"/>
  <c r="K8" i="16"/>
  <c r="L8" i="16" s="1"/>
  <c r="H8" i="16"/>
  <c r="I8" i="16" s="1"/>
  <c r="G8" i="16"/>
  <c r="K7" i="16"/>
  <c r="L7" i="16" s="1"/>
  <c r="H7" i="16"/>
  <c r="I7" i="16" s="1"/>
  <c r="L6" i="16"/>
  <c r="K6" i="16"/>
  <c r="H6" i="16"/>
  <c r="I6" i="16" s="1"/>
  <c r="K5" i="16"/>
  <c r="L5" i="16" s="1"/>
  <c r="I5" i="16"/>
  <c r="H5" i="16"/>
  <c r="G4" i="16"/>
  <c r="H4" i="16" s="1"/>
  <c r="I4" i="16" s="1"/>
  <c r="D59" i="11"/>
  <c r="K54" i="11"/>
  <c r="L54" i="11" s="1"/>
  <c r="H54" i="11"/>
  <c r="I54" i="11" s="1"/>
  <c r="K53" i="11"/>
  <c r="L53" i="11" s="1"/>
  <c r="H53" i="11"/>
  <c r="I53" i="11" s="1"/>
  <c r="K52" i="11"/>
  <c r="L52" i="11" s="1"/>
  <c r="H52" i="11"/>
  <c r="I52" i="11" s="1"/>
  <c r="K51" i="11"/>
  <c r="L51" i="11" s="1"/>
  <c r="H51" i="11"/>
  <c r="I51" i="11" s="1"/>
  <c r="K50" i="11"/>
  <c r="L50" i="11" s="1"/>
  <c r="H50" i="11"/>
  <c r="I50" i="11" s="1"/>
  <c r="K49" i="11"/>
  <c r="L49" i="11" s="1"/>
  <c r="H49" i="11"/>
  <c r="I49" i="11" s="1"/>
  <c r="G48" i="11"/>
  <c r="F48" i="11"/>
  <c r="E48" i="11"/>
  <c r="D48" i="11"/>
  <c r="C48" i="11"/>
  <c r="C43" i="11" s="1"/>
  <c r="K47" i="11"/>
  <c r="L47" i="11" s="1"/>
  <c r="H47" i="11"/>
  <c r="I47" i="11" s="1"/>
  <c r="K46" i="11"/>
  <c r="L46" i="11" s="1"/>
  <c r="H46" i="11"/>
  <c r="I46" i="11" s="1"/>
  <c r="K45" i="11"/>
  <c r="L45" i="11" s="1"/>
  <c r="H45" i="11"/>
  <c r="I45" i="11" s="1"/>
  <c r="G44" i="11"/>
  <c r="F44" i="11"/>
  <c r="E44" i="11"/>
  <c r="D44" i="11"/>
  <c r="D43" i="11" s="1"/>
  <c r="C44" i="11"/>
  <c r="F43" i="11"/>
  <c r="K42" i="11"/>
  <c r="L42" i="11" s="1"/>
  <c r="H42" i="11"/>
  <c r="I42" i="11" s="1"/>
  <c r="L41" i="11"/>
  <c r="K41" i="11"/>
  <c r="H41" i="11"/>
  <c r="I41" i="11" s="1"/>
  <c r="K40" i="11"/>
  <c r="L40" i="11" s="1"/>
  <c r="H40" i="11"/>
  <c r="I40" i="11" s="1"/>
  <c r="K39" i="11"/>
  <c r="L39" i="11" s="1"/>
  <c r="H39" i="11"/>
  <c r="I39" i="11" s="1"/>
  <c r="K38" i="11"/>
  <c r="L38" i="11" s="1"/>
  <c r="H38" i="11"/>
  <c r="I38" i="11" s="1"/>
  <c r="K37" i="11"/>
  <c r="L37" i="11" s="1"/>
  <c r="H37" i="11"/>
  <c r="I37" i="11" s="1"/>
  <c r="K36" i="11"/>
  <c r="L36" i="11" s="1"/>
  <c r="H36" i="11"/>
  <c r="I36" i="11" s="1"/>
  <c r="L35" i="11"/>
  <c r="K35" i="11"/>
  <c r="H35" i="11"/>
  <c r="I35" i="11" s="1"/>
  <c r="K34" i="11"/>
  <c r="L34" i="11" s="1"/>
  <c r="H34" i="11"/>
  <c r="I34" i="11" s="1"/>
  <c r="G33" i="11"/>
  <c r="K33" i="11" s="1"/>
  <c r="L33" i="11" s="1"/>
  <c r="F33" i="11"/>
  <c r="F29" i="11" s="1"/>
  <c r="F55" i="11" s="1"/>
  <c r="E33" i="11"/>
  <c r="D33" i="11"/>
  <c r="C33" i="11"/>
  <c r="C29" i="11" s="1"/>
  <c r="K32" i="11"/>
  <c r="L32" i="11" s="1"/>
  <c r="H32" i="11"/>
  <c r="I32" i="11" s="1"/>
  <c r="K31" i="11"/>
  <c r="L31" i="11" s="1"/>
  <c r="H31" i="11"/>
  <c r="I31" i="11" s="1"/>
  <c r="K30" i="11"/>
  <c r="L30" i="11" s="1"/>
  <c r="H30" i="11"/>
  <c r="I30" i="11" s="1"/>
  <c r="E29" i="11"/>
  <c r="D29" i="11"/>
  <c r="K26" i="11"/>
  <c r="L26" i="11" s="1"/>
  <c r="H26" i="11"/>
  <c r="I26" i="11" s="1"/>
  <c r="K25" i="11"/>
  <c r="L25" i="11" s="1"/>
  <c r="H25" i="11"/>
  <c r="I25" i="11" s="1"/>
  <c r="K24" i="11"/>
  <c r="L24" i="11" s="1"/>
  <c r="H24" i="11"/>
  <c r="I24" i="11" s="1"/>
  <c r="K23" i="11"/>
  <c r="L23" i="11" s="1"/>
  <c r="H23" i="11"/>
  <c r="I23" i="11" s="1"/>
  <c r="L22" i="11"/>
  <c r="I22" i="11"/>
  <c r="H22" i="11"/>
  <c r="K21" i="11"/>
  <c r="L21" i="11" s="1"/>
  <c r="H21" i="11"/>
  <c r="I21" i="11" s="1"/>
  <c r="K20" i="11"/>
  <c r="L20" i="11" s="1"/>
  <c r="H20" i="11"/>
  <c r="I20" i="11" s="1"/>
  <c r="K19" i="11"/>
  <c r="L19" i="11" s="1"/>
  <c r="H19" i="11"/>
  <c r="I19" i="11" s="1"/>
  <c r="G18" i="11"/>
  <c r="G59" i="11" s="1"/>
  <c r="F18" i="11"/>
  <c r="F59" i="11" s="1"/>
  <c r="E18" i="11"/>
  <c r="D18" i="11"/>
  <c r="C18" i="11"/>
  <c r="C59" i="11" s="1"/>
  <c r="K17" i="11"/>
  <c r="L17" i="11" s="1"/>
  <c r="H17" i="11"/>
  <c r="I17" i="11" s="1"/>
  <c r="K16" i="11"/>
  <c r="L16" i="11" s="1"/>
  <c r="H16" i="11"/>
  <c r="I16" i="11" s="1"/>
  <c r="K15" i="11"/>
  <c r="L15" i="11" s="1"/>
  <c r="H15" i="11"/>
  <c r="I15" i="11" s="1"/>
  <c r="K14" i="11"/>
  <c r="L14" i="11" s="1"/>
  <c r="H14" i="11"/>
  <c r="I14" i="11" s="1"/>
  <c r="K13" i="11"/>
  <c r="L13" i="11" s="1"/>
  <c r="H13" i="11"/>
  <c r="I13" i="11" s="1"/>
  <c r="K12" i="11"/>
  <c r="L12" i="11" s="1"/>
  <c r="H12" i="11"/>
  <c r="I12" i="11" s="1"/>
  <c r="G11" i="11"/>
  <c r="G58" i="11" s="1"/>
  <c r="F11" i="11"/>
  <c r="E11" i="11"/>
  <c r="D11" i="11"/>
  <c r="D58" i="11" s="1"/>
  <c r="C11" i="11"/>
  <c r="C58" i="11" s="1"/>
  <c r="K9" i="11"/>
  <c r="L9" i="11" s="1"/>
  <c r="H9" i="11"/>
  <c r="I9" i="11" s="1"/>
  <c r="K8" i="11"/>
  <c r="L8" i="11" s="1"/>
  <c r="H8" i="11"/>
  <c r="I8" i="11" s="1"/>
  <c r="K7" i="11"/>
  <c r="L7" i="11" s="1"/>
  <c r="H7" i="11"/>
  <c r="I7" i="11" s="1"/>
  <c r="G6" i="11"/>
  <c r="G3" i="11" s="1"/>
  <c r="F6" i="11"/>
  <c r="F3" i="11" s="1"/>
  <c r="E6" i="11"/>
  <c r="D6" i="11"/>
  <c r="D3" i="11" s="1"/>
  <c r="C6" i="11"/>
  <c r="C3" i="11" s="1"/>
  <c r="K5" i="11"/>
  <c r="L5" i="11" s="1"/>
  <c r="H5" i="11"/>
  <c r="I5" i="11" s="1"/>
  <c r="K4" i="11"/>
  <c r="L4" i="11" s="1"/>
  <c r="H4" i="11"/>
  <c r="I4" i="11" s="1"/>
  <c r="F22" i="12"/>
  <c r="D22" i="12"/>
  <c r="K21" i="12"/>
  <c r="L21" i="12" s="1"/>
  <c r="H21" i="12"/>
  <c r="I21" i="12" s="1"/>
  <c r="L20" i="12"/>
  <c r="K20" i="12"/>
  <c r="H20" i="12"/>
  <c r="I20" i="12" s="1"/>
  <c r="L19" i="12"/>
  <c r="K19" i="12"/>
  <c r="H19" i="12"/>
  <c r="I19" i="12" s="1"/>
  <c r="K18" i="12"/>
  <c r="L18" i="12" s="1"/>
  <c r="H18" i="12"/>
  <c r="I18" i="12" s="1"/>
  <c r="L17" i="12"/>
  <c r="K17" i="12"/>
  <c r="H17" i="12"/>
  <c r="I17" i="12" s="1"/>
  <c r="L16" i="12"/>
  <c r="K16" i="12"/>
  <c r="H16" i="12"/>
  <c r="I16" i="12" s="1"/>
  <c r="G15" i="12"/>
  <c r="H15" i="12" s="1"/>
  <c r="I15" i="12" s="1"/>
  <c r="K14" i="12"/>
  <c r="L14" i="12" s="1"/>
  <c r="H14" i="12"/>
  <c r="I14" i="12" s="1"/>
  <c r="K13" i="12"/>
  <c r="L13" i="12" s="1"/>
  <c r="H13" i="12"/>
  <c r="I13" i="12" s="1"/>
  <c r="K12" i="12"/>
  <c r="L12" i="12" s="1"/>
  <c r="H12" i="12"/>
  <c r="I12" i="12" s="1"/>
  <c r="K11" i="12"/>
  <c r="L11" i="12" s="1"/>
  <c r="H11" i="12"/>
  <c r="I11" i="12" s="1"/>
  <c r="K10" i="12"/>
  <c r="L10" i="12" s="1"/>
  <c r="H10" i="12"/>
  <c r="I10" i="12" s="1"/>
  <c r="K9" i="12"/>
  <c r="L9" i="12" s="1"/>
  <c r="H9" i="12"/>
  <c r="I9" i="12" s="1"/>
  <c r="E9" i="12"/>
  <c r="C9" i="12"/>
  <c r="K8" i="12"/>
  <c r="L8" i="12" s="1"/>
  <c r="H8" i="12"/>
  <c r="I8" i="12" s="1"/>
  <c r="K7" i="12"/>
  <c r="L7" i="12" s="1"/>
  <c r="H7" i="12"/>
  <c r="I7" i="12" s="1"/>
  <c r="K6" i="12"/>
  <c r="L6" i="12" s="1"/>
  <c r="H6" i="12"/>
  <c r="I6" i="12" s="1"/>
  <c r="G5" i="12"/>
  <c r="K5" i="12" s="1"/>
  <c r="L5" i="12" s="1"/>
  <c r="F5" i="12"/>
  <c r="D5" i="12"/>
  <c r="K4" i="12"/>
  <c r="L4" i="12" s="1"/>
  <c r="I4" i="12"/>
  <c r="H4" i="12"/>
  <c r="K3" i="12"/>
  <c r="L3" i="12" s="1"/>
  <c r="I3" i="12"/>
  <c r="H3" i="12"/>
  <c r="C10" i="11" l="1"/>
  <c r="C27" i="11" s="1"/>
  <c r="D10" i="11"/>
  <c r="C55" i="11"/>
  <c r="E43" i="11"/>
  <c r="K43" i="11" s="1"/>
  <c r="L43" i="11" s="1"/>
  <c r="K6" i="11"/>
  <c r="L6" i="11" s="1"/>
  <c r="E10" i="11"/>
  <c r="K48" i="11"/>
  <c r="L48" i="11" s="1"/>
  <c r="F10" i="11"/>
  <c r="F27" i="11" s="1"/>
  <c r="H44" i="11"/>
  <c r="I44" i="11" s="1"/>
  <c r="H48" i="11"/>
  <c r="I48" i="11" s="1"/>
  <c r="D57" i="11"/>
  <c r="K18" i="11"/>
  <c r="L18" i="11" s="1"/>
  <c r="G43" i="11"/>
  <c r="E55" i="11"/>
  <c r="G10" i="11"/>
  <c r="G27" i="11" s="1"/>
  <c r="K11" i="11"/>
  <c r="L11" i="11" s="1"/>
  <c r="E58" i="11"/>
  <c r="K58" i="11" s="1"/>
  <c r="L58" i="11" s="1"/>
  <c r="E3" i="11"/>
  <c r="E27" i="11" s="1"/>
  <c r="H6" i="11"/>
  <c r="I6" i="11" s="1"/>
  <c r="H43" i="11"/>
  <c r="I43" i="11" s="1"/>
  <c r="D55" i="11"/>
  <c r="G88" i="5"/>
  <c r="G56" i="5"/>
  <c r="E80" i="16"/>
  <c r="H66" i="16"/>
  <c r="I66" i="16" s="1"/>
  <c r="K66" i="16"/>
  <c r="L66" i="16" s="1"/>
  <c r="G27" i="16"/>
  <c r="H33" i="16"/>
  <c r="I33" i="16" s="1"/>
  <c r="K11" i="16"/>
  <c r="L11" i="16" s="1"/>
  <c r="H17" i="16"/>
  <c r="I17" i="16" s="1"/>
  <c r="K75" i="16"/>
  <c r="L75" i="16" s="1"/>
  <c r="H73" i="16"/>
  <c r="I73" i="16" s="1"/>
  <c r="H34" i="16"/>
  <c r="I34" i="16" s="1"/>
  <c r="H60" i="16"/>
  <c r="I60" i="16" s="1"/>
  <c r="H37" i="16"/>
  <c r="I37" i="16" s="1"/>
  <c r="K4" i="16"/>
  <c r="L4" i="16" s="1"/>
  <c r="H29" i="16"/>
  <c r="I29" i="16" s="1"/>
  <c r="G57" i="11"/>
  <c r="H3" i="11"/>
  <c r="I3" i="11" s="1"/>
  <c r="K3" i="11"/>
  <c r="L3" i="11" s="1"/>
  <c r="D27" i="11"/>
  <c r="H59" i="11"/>
  <c r="I59" i="11" s="1"/>
  <c r="C57" i="11"/>
  <c r="K44" i="11"/>
  <c r="L44" i="11" s="1"/>
  <c r="H33" i="11"/>
  <c r="I33" i="11" s="1"/>
  <c r="E59" i="11"/>
  <c r="K59" i="11" s="1"/>
  <c r="L59" i="11" s="1"/>
  <c r="H18" i="11"/>
  <c r="I18" i="11" s="1"/>
  <c r="G29" i="11"/>
  <c r="H11" i="11"/>
  <c r="I11" i="11" s="1"/>
  <c r="F58" i="11"/>
  <c r="F57" i="11" s="1"/>
  <c r="K15" i="12"/>
  <c r="L15" i="12" s="1"/>
  <c r="H5" i="12"/>
  <c r="I5" i="12" s="1"/>
  <c r="G22" i="12"/>
  <c r="E57" i="11" l="1"/>
  <c r="K57" i="11" s="1"/>
  <c r="L57" i="11" s="1"/>
  <c r="K10" i="11"/>
  <c r="L10" i="11" s="1"/>
  <c r="H10" i="11"/>
  <c r="I10" i="11" s="1"/>
  <c r="G55" i="5"/>
  <c r="G26" i="16"/>
  <c r="K27" i="16"/>
  <c r="L27" i="16" s="1"/>
  <c r="H27" i="16"/>
  <c r="I27" i="16" s="1"/>
  <c r="H29" i="11"/>
  <c r="I29" i="11" s="1"/>
  <c r="K29" i="11"/>
  <c r="L29" i="11" s="1"/>
  <c r="G55" i="11"/>
  <c r="H57" i="11"/>
  <c r="I57" i="11" s="1"/>
  <c r="H27" i="11"/>
  <c r="I27" i="11" s="1"/>
  <c r="K27" i="11"/>
  <c r="L27" i="11" s="1"/>
  <c r="H58" i="11"/>
  <c r="I58" i="11" s="1"/>
  <c r="K22" i="12"/>
  <c r="L22" i="12" s="1"/>
  <c r="H22" i="12"/>
  <c r="I22" i="12" s="1"/>
  <c r="G53" i="5" l="1"/>
  <c r="K26" i="16"/>
  <c r="L26" i="16" s="1"/>
  <c r="G25" i="16"/>
  <c r="H26" i="16"/>
  <c r="I26" i="16" s="1"/>
  <c r="K55" i="11"/>
  <c r="L55" i="11" s="1"/>
  <c r="H55" i="11"/>
  <c r="I55" i="11" s="1"/>
  <c r="G80" i="16" l="1"/>
  <c r="K25" i="16"/>
  <c r="L25" i="16" s="1"/>
  <c r="H25" i="16"/>
  <c r="I25" i="16" s="1"/>
  <c r="K80" i="16" l="1"/>
  <c r="L80" i="16" s="1"/>
  <c r="H80" i="16"/>
  <c r="I80" i="16" s="1"/>
  <c r="G181" i="2" l="1"/>
  <c r="G189" i="2"/>
  <c r="G187" i="2"/>
  <c r="G186" i="2"/>
  <c r="G142" i="2"/>
  <c r="G175" i="2"/>
  <c r="G18" i="2"/>
  <c r="G82" i="2"/>
  <c r="G116" i="2"/>
  <c r="G8" i="2"/>
  <c r="G14" i="2"/>
  <c r="G26" i="2"/>
  <c r="G33" i="2"/>
  <c r="G7" i="2"/>
  <c r="G6" i="2"/>
  <c r="G30" i="5"/>
  <c r="H57" i="5"/>
  <c r="I57" i="5" s="1"/>
  <c r="H63" i="5"/>
  <c r="I63" i="5" s="1"/>
  <c r="H92" i="5"/>
  <c r="I92" i="5" s="1"/>
  <c r="H95" i="5"/>
  <c r="I95" i="5" s="1"/>
  <c r="G111" i="5"/>
  <c r="G114" i="5"/>
  <c r="G117" i="5"/>
  <c r="G120" i="5"/>
  <c r="G123" i="5"/>
  <c r="G27" i="5"/>
  <c r="G5" i="5"/>
  <c r="G88" i="2"/>
  <c r="I53" i="2"/>
  <c r="I51" i="2"/>
  <c r="G37" i="2"/>
  <c r="G40" i="2"/>
  <c r="G36" i="2"/>
  <c r="G53" i="2"/>
  <c r="G51" i="2"/>
  <c r="G35" i="2"/>
  <c r="G61" i="2"/>
  <c r="G64" i="2"/>
  <c r="G60" i="2"/>
  <c r="G69" i="2"/>
  <c r="G75" i="2"/>
  <c r="G83" i="2"/>
  <c r="G91" i="2"/>
  <c r="G97" i="2"/>
  <c r="G67" i="2"/>
  <c r="G104" i="2"/>
  <c r="G109" i="2"/>
  <c r="G115" i="2"/>
  <c r="G121" i="2"/>
  <c r="G124" i="2"/>
  <c r="G114" i="2"/>
  <c r="G129" i="2"/>
  <c r="G103" i="2"/>
  <c r="G140" i="2"/>
  <c r="G139" i="2"/>
  <c r="G59" i="2"/>
  <c r="G34" i="2"/>
  <c r="G42" i="5"/>
  <c r="H42" i="5"/>
  <c r="I42" i="5"/>
  <c r="F114" i="5"/>
  <c r="F110" i="5" s="1"/>
  <c r="F107" i="5" s="1"/>
  <c r="F130" i="5" s="1"/>
  <c r="G40" i="5"/>
  <c r="G16" i="5"/>
  <c r="G8" i="5"/>
  <c r="F89" i="10"/>
  <c r="F88" i="10"/>
  <c r="F87" i="10"/>
  <c r="F86" i="10"/>
  <c r="F12" i="10"/>
  <c r="E12" i="10"/>
  <c r="F126" i="5"/>
  <c r="F101" i="5"/>
  <c r="F88" i="5" s="1"/>
  <c r="F85" i="5"/>
  <c r="F72" i="5" s="1"/>
  <c r="H72" i="5" s="1"/>
  <c r="I72" i="5" s="1"/>
  <c r="F56" i="5"/>
  <c r="F47" i="5"/>
  <c r="F42" i="5"/>
  <c r="F41" i="5"/>
  <c r="F40" i="5"/>
  <c r="F35" i="5"/>
  <c r="F34" i="5"/>
  <c r="F27" i="5"/>
  <c r="F15" i="5"/>
  <c r="F7" i="5"/>
  <c r="F6" i="5"/>
  <c r="F5" i="5"/>
  <c r="F45" i="5"/>
  <c r="E138" i="5"/>
  <c r="E126" i="5"/>
  <c r="E123" i="5"/>
  <c r="E120" i="5"/>
  <c r="E117" i="5"/>
  <c r="E114" i="5"/>
  <c r="E111" i="5"/>
  <c r="E98" i="5"/>
  <c r="K98" i="5" s="1"/>
  <c r="L98" i="5" s="1"/>
  <c r="E95" i="5"/>
  <c r="K95" i="5" s="1"/>
  <c r="L95" i="5" s="1"/>
  <c r="E92" i="5"/>
  <c r="K92" i="5" s="1"/>
  <c r="L92" i="5" s="1"/>
  <c r="E89" i="5"/>
  <c r="K89" i="5" s="1"/>
  <c r="L89" i="5" s="1"/>
  <c r="E85" i="5"/>
  <c r="K85" i="5" s="1"/>
  <c r="L85" i="5" s="1"/>
  <c r="E82" i="5"/>
  <c r="K82" i="5" s="1"/>
  <c r="L82" i="5" s="1"/>
  <c r="E79" i="5"/>
  <c r="K79" i="5" s="1"/>
  <c r="L79" i="5" s="1"/>
  <c r="E76" i="5"/>
  <c r="K76" i="5" s="1"/>
  <c r="L76" i="5" s="1"/>
  <c r="E73" i="5"/>
  <c r="K73" i="5" s="1"/>
  <c r="L73" i="5" s="1"/>
  <c r="E66" i="5"/>
  <c r="K66" i="5" s="1"/>
  <c r="L66" i="5" s="1"/>
  <c r="E63" i="5"/>
  <c r="K63" i="5" s="1"/>
  <c r="L63" i="5" s="1"/>
  <c r="E60" i="5"/>
  <c r="K60" i="5" s="1"/>
  <c r="L60" i="5" s="1"/>
  <c r="E57" i="5"/>
  <c r="K57" i="5" s="1"/>
  <c r="L57" i="5" s="1"/>
  <c r="E47" i="5"/>
  <c r="E42" i="5"/>
  <c r="E40" i="5"/>
  <c r="E39" i="5"/>
  <c r="E35" i="5"/>
  <c r="E34" i="5"/>
  <c r="E30" i="5"/>
  <c r="E28" i="5"/>
  <c r="E27" i="5"/>
  <c r="E24" i="5"/>
  <c r="E18" i="5"/>
  <c r="E15" i="5"/>
  <c r="E6" i="5"/>
  <c r="E5" i="5"/>
  <c r="E45" i="5"/>
  <c r="E12" i="5"/>
  <c r="E7" i="5"/>
  <c r="E189" i="2"/>
  <c r="E183" i="2"/>
  <c r="E181" i="2"/>
  <c r="E173" i="2"/>
  <c r="E165" i="2"/>
  <c r="E142" i="2"/>
  <c r="E140" i="2"/>
  <c r="E139" i="2"/>
  <c r="E129" i="2"/>
  <c r="E124" i="2"/>
  <c r="E121" i="2"/>
  <c r="E114" i="2"/>
  <c r="E115" i="2"/>
  <c r="E109" i="2"/>
  <c r="E104" i="2"/>
  <c r="E97" i="2"/>
  <c r="E91" i="2"/>
  <c r="E83" i="2"/>
  <c r="E82" i="2"/>
  <c r="E75" i="2"/>
  <c r="E69" i="2"/>
  <c r="E67" i="2"/>
  <c r="E64" i="2"/>
  <c r="E61" i="2"/>
  <c r="E60" i="2"/>
  <c r="E33" i="2"/>
  <c r="E25" i="2"/>
  <c r="E16" i="2"/>
  <c r="E4" i="2"/>
  <c r="E3" i="2"/>
  <c r="E13" i="2"/>
  <c r="E5" i="2"/>
  <c r="C114" i="5"/>
  <c r="G183" i="2"/>
  <c r="K86" i="10"/>
  <c r="E103" i="2"/>
  <c r="E182" i="2"/>
  <c r="E59" i="2"/>
  <c r="E34" i="2"/>
  <c r="E163" i="2"/>
  <c r="E191" i="2"/>
  <c r="E164" i="2"/>
  <c r="E172" i="2"/>
  <c r="E193" i="2"/>
  <c r="C84" i="14"/>
  <c r="C48" i="14"/>
  <c r="C105" i="14"/>
  <c r="C39" i="14"/>
  <c r="G173" i="2"/>
  <c r="K18" i="2"/>
  <c r="H140" i="5"/>
  <c r="I140" i="5" s="1"/>
  <c r="H139" i="5"/>
  <c r="I139" i="5" s="1"/>
  <c r="C138" i="5"/>
  <c r="H137" i="5"/>
  <c r="I137" i="5" s="1"/>
  <c r="H136" i="5"/>
  <c r="I136" i="5" s="1"/>
  <c r="H135" i="5"/>
  <c r="I135" i="5" s="1"/>
  <c r="H134" i="5"/>
  <c r="I134" i="5" s="1"/>
  <c r="H132" i="5"/>
  <c r="I132" i="5" s="1"/>
  <c r="H131" i="5"/>
  <c r="I131" i="5" s="1"/>
  <c r="H129" i="5"/>
  <c r="I129" i="5" s="1"/>
  <c r="H128" i="5"/>
  <c r="I128" i="5" s="1"/>
  <c r="H127" i="5"/>
  <c r="I127" i="5" s="1"/>
  <c r="H126" i="5"/>
  <c r="I126" i="5"/>
  <c r="G126" i="5"/>
  <c r="D126" i="5"/>
  <c r="C126" i="5"/>
  <c r="H125" i="5"/>
  <c r="I125" i="5" s="1"/>
  <c r="H124" i="5"/>
  <c r="I124" i="5" s="1"/>
  <c r="C123" i="5"/>
  <c r="H122" i="5"/>
  <c r="I122" i="5" s="1"/>
  <c r="H121" i="5"/>
  <c r="I121" i="5" s="1"/>
  <c r="C120" i="5"/>
  <c r="H119" i="5"/>
  <c r="I119" i="5" s="1"/>
  <c r="H118" i="5"/>
  <c r="I118" i="5" s="1"/>
  <c r="C117" i="5"/>
  <c r="H116" i="5"/>
  <c r="I116" i="5" s="1"/>
  <c r="H115" i="5"/>
  <c r="I115" i="5" s="1"/>
  <c r="D114" i="5"/>
  <c r="D110" i="5" s="1"/>
  <c r="D107" i="5" s="1"/>
  <c r="D130" i="5" s="1"/>
  <c r="H113" i="5"/>
  <c r="I113" i="5" s="1"/>
  <c r="I112" i="5"/>
  <c r="C111" i="5"/>
  <c r="H109" i="5"/>
  <c r="I109" i="5"/>
  <c r="H108" i="5"/>
  <c r="I108" i="5"/>
  <c r="I106" i="5"/>
  <c r="H104" i="5"/>
  <c r="I104" i="5" s="1"/>
  <c r="H103" i="5"/>
  <c r="I103" i="5" s="1"/>
  <c r="H102" i="5"/>
  <c r="I102" i="5"/>
  <c r="D101" i="5"/>
  <c r="D88" i="5" s="1"/>
  <c r="H100" i="5"/>
  <c r="I100" i="5" s="1"/>
  <c r="H99" i="5"/>
  <c r="I99" i="5" s="1"/>
  <c r="H98" i="5"/>
  <c r="I98" i="5" s="1"/>
  <c r="C98" i="5"/>
  <c r="H97" i="5"/>
  <c r="I97" i="5" s="1"/>
  <c r="H96" i="5"/>
  <c r="I96" i="5" s="1"/>
  <c r="C95" i="5"/>
  <c r="H94" i="5"/>
  <c r="I94" i="5" s="1"/>
  <c r="H93" i="5"/>
  <c r="I93" i="5" s="1"/>
  <c r="C92" i="5"/>
  <c r="H91" i="5"/>
  <c r="I91" i="5" s="1"/>
  <c r="H90" i="5"/>
  <c r="I90" i="5" s="1"/>
  <c r="C89" i="5"/>
  <c r="H87" i="5"/>
  <c r="I87" i="5" s="1"/>
  <c r="H86" i="5"/>
  <c r="I86" i="5" s="1"/>
  <c r="D85" i="5"/>
  <c r="D72" i="5" s="1"/>
  <c r="C85" i="5"/>
  <c r="H84" i="5"/>
  <c r="I84" i="5" s="1"/>
  <c r="H83" i="5"/>
  <c r="I83" i="5" s="1"/>
  <c r="H82" i="5"/>
  <c r="I82" i="5" s="1"/>
  <c r="C82" i="5"/>
  <c r="H81" i="5"/>
  <c r="I81" i="5" s="1"/>
  <c r="H80" i="5"/>
  <c r="I80" i="5" s="1"/>
  <c r="H79" i="5"/>
  <c r="I79" i="5" s="1"/>
  <c r="C79" i="5"/>
  <c r="H78" i="5"/>
  <c r="I78" i="5" s="1"/>
  <c r="H77" i="5"/>
  <c r="I77" i="5" s="1"/>
  <c r="H76" i="5"/>
  <c r="I76" i="5" s="1"/>
  <c r="C76" i="5"/>
  <c r="H75" i="5"/>
  <c r="I75" i="5" s="1"/>
  <c r="H74" i="5"/>
  <c r="I74" i="5" s="1"/>
  <c r="C73" i="5"/>
  <c r="H71" i="5"/>
  <c r="I71" i="5" s="1"/>
  <c r="H70" i="5"/>
  <c r="I70" i="5" s="1"/>
  <c r="H69" i="5"/>
  <c r="I69" i="5" s="1"/>
  <c r="H68" i="5"/>
  <c r="I68" i="5" s="1"/>
  <c r="H67" i="5"/>
  <c r="I67" i="5" s="1"/>
  <c r="C66" i="5"/>
  <c r="H65" i="5"/>
  <c r="I65" i="5" s="1"/>
  <c r="I64" i="5"/>
  <c r="C63" i="5"/>
  <c r="H62" i="5"/>
  <c r="I62" i="5" s="1"/>
  <c r="H61" i="5"/>
  <c r="I61" i="5"/>
  <c r="C60" i="5"/>
  <c r="H59" i="5"/>
  <c r="I59" i="5"/>
  <c r="H58" i="5"/>
  <c r="I58" i="5" s="1"/>
  <c r="C57" i="5"/>
  <c r="D56" i="5"/>
  <c r="H54" i="5"/>
  <c r="I54" i="5" s="1"/>
  <c r="K52" i="5"/>
  <c r="L52" i="5"/>
  <c r="H52" i="5"/>
  <c r="I52" i="5"/>
  <c r="K51" i="5"/>
  <c r="L51" i="5"/>
  <c r="H51" i="5"/>
  <c r="I51" i="5"/>
  <c r="K50" i="5"/>
  <c r="L50" i="5"/>
  <c r="H50" i="5"/>
  <c r="I50" i="5"/>
  <c r="K49" i="5"/>
  <c r="L49" i="5"/>
  <c r="H49" i="5"/>
  <c r="I49" i="5"/>
  <c r="K48" i="5"/>
  <c r="L48" i="5"/>
  <c r="H48" i="5"/>
  <c r="I48" i="5"/>
  <c r="G47" i="5"/>
  <c r="D47" i="5"/>
  <c r="C47" i="5"/>
  <c r="K46" i="5"/>
  <c r="L46" i="5"/>
  <c r="I46" i="5"/>
  <c r="K44" i="5"/>
  <c r="L44" i="5"/>
  <c r="H44" i="5"/>
  <c r="I44" i="5"/>
  <c r="K43" i="5"/>
  <c r="L43" i="5"/>
  <c r="H43" i="5"/>
  <c r="I43" i="5"/>
  <c r="D42" i="5"/>
  <c r="C42" i="5"/>
  <c r="K41" i="5"/>
  <c r="L41" i="5"/>
  <c r="H41" i="5"/>
  <c r="I41" i="5"/>
  <c r="D41" i="5"/>
  <c r="D40" i="5"/>
  <c r="H40" i="5"/>
  <c r="I40" i="5"/>
  <c r="K40" i="5"/>
  <c r="L40" i="5"/>
  <c r="C40" i="5"/>
  <c r="C35" i="5"/>
  <c r="C34" i="5"/>
  <c r="K39" i="5"/>
  <c r="L39" i="5" s="1"/>
  <c r="H39" i="5"/>
  <c r="I39" i="5"/>
  <c r="C39" i="5"/>
  <c r="K38" i="5"/>
  <c r="L38" i="5"/>
  <c r="H38" i="5"/>
  <c r="I38" i="5"/>
  <c r="K37" i="5"/>
  <c r="L37" i="5"/>
  <c r="H37" i="5"/>
  <c r="I37" i="5"/>
  <c r="K36" i="5"/>
  <c r="L36" i="5"/>
  <c r="H36" i="5"/>
  <c r="I36" i="5"/>
  <c r="G35" i="5"/>
  <c r="G34" i="5" s="1"/>
  <c r="D35" i="5"/>
  <c r="D34" i="5"/>
  <c r="K33" i="5"/>
  <c r="L33" i="5"/>
  <c r="H33" i="5"/>
  <c r="I33" i="5"/>
  <c r="K32" i="5"/>
  <c r="L32" i="5"/>
  <c r="H32" i="5"/>
  <c r="I32" i="5"/>
  <c r="K31" i="5"/>
  <c r="L31" i="5"/>
  <c r="H31" i="5"/>
  <c r="I31" i="5"/>
  <c r="C30" i="5"/>
  <c r="K29" i="5"/>
  <c r="L29" i="5"/>
  <c r="H29" i="5"/>
  <c r="I29" i="5"/>
  <c r="K28" i="5"/>
  <c r="L28" i="5"/>
  <c r="H28" i="5"/>
  <c r="I28" i="5"/>
  <c r="C28" i="5"/>
  <c r="C27" i="5"/>
  <c r="K27" i="5"/>
  <c r="L27" i="5"/>
  <c r="D27" i="5"/>
  <c r="D5" i="5"/>
  <c r="D45" i="5"/>
  <c r="K26" i="5"/>
  <c r="L26" i="5"/>
  <c r="H26" i="5"/>
  <c r="I26" i="5"/>
  <c r="K25" i="5"/>
  <c r="L25" i="5"/>
  <c r="H25" i="5"/>
  <c r="I25" i="5"/>
  <c r="G24" i="5"/>
  <c r="H24" i="5"/>
  <c r="I24" i="5"/>
  <c r="C24" i="5"/>
  <c r="C5" i="5"/>
  <c r="C45" i="5"/>
  <c r="K23" i="5"/>
  <c r="L23" i="5"/>
  <c r="H23" i="5"/>
  <c r="I23" i="5"/>
  <c r="K22" i="5"/>
  <c r="L22" i="5"/>
  <c r="H22" i="5"/>
  <c r="I22" i="5"/>
  <c r="K21" i="5"/>
  <c r="L21" i="5"/>
  <c r="H21" i="5"/>
  <c r="I21" i="5"/>
  <c r="K20" i="5"/>
  <c r="L20" i="5"/>
  <c r="H20" i="5"/>
  <c r="I20" i="5"/>
  <c r="K19" i="5"/>
  <c r="L19" i="5"/>
  <c r="H19" i="5"/>
  <c r="I19" i="5"/>
  <c r="H18" i="5"/>
  <c r="I18" i="5"/>
  <c r="G18" i="5"/>
  <c r="K18" i="5"/>
  <c r="L18" i="5"/>
  <c r="C18" i="5"/>
  <c r="K17" i="5"/>
  <c r="L17" i="5"/>
  <c r="I17" i="5"/>
  <c r="H17" i="5"/>
  <c r="K16" i="5"/>
  <c r="L16" i="5"/>
  <c r="D15" i="5"/>
  <c r="C15" i="5"/>
  <c r="K14" i="5"/>
  <c r="L14" i="5"/>
  <c r="H14" i="5"/>
  <c r="I14" i="5"/>
  <c r="K13" i="5"/>
  <c r="L13" i="5"/>
  <c r="H13" i="5"/>
  <c r="I13" i="5"/>
  <c r="H12" i="5"/>
  <c r="I12" i="5"/>
  <c r="G12" i="5"/>
  <c r="K12" i="5"/>
  <c r="L12" i="5"/>
  <c r="C12" i="5"/>
  <c r="K11" i="5"/>
  <c r="L11" i="5"/>
  <c r="H11" i="5"/>
  <c r="I11" i="5"/>
  <c r="H10" i="5"/>
  <c r="I10" i="5"/>
  <c r="K9" i="5"/>
  <c r="L9" i="5"/>
  <c r="H9" i="5"/>
  <c r="I9" i="5"/>
  <c r="K8" i="5"/>
  <c r="L8" i="5"/>
  <c r="H8" i="5"/>
  <c r="I8" i="5"/>
  <c r="D7" i="5"/>
  <c r="C7" i="5"/>
  <c r="D6" i="5"/>
  <c r="C6" i="5"/>
  <c r="K3" i="5"/>
  <c r="L3" i="5"/>
  <c r="H3" i="5"/>
  <c r="I3" i="5"/>
  <c r="C112" i="14"/>
  <c r="C96" i="14"/>
  <c r="C79" i="14"/>
  <c r="C69" i="14"/>
  <c r="C65" i="14"/>
  <c r="C57" i="14"/>
  <c r="C26" i="14"/>
  <c r="C17" i="14"/>
  <c r="H85" i="5"/>
  <c r="I85" i="5" s="1"/>
  <c r="G7" i="5"/>
  <c r="K10" i="5"/>
  <c r="L10" i="5"/>
  <c r="H16" i="5"/>
  <c r="I16" i="5"/>
  <c r="K24" i="5"/>
  <c r="L24" i="5"/>
  <c r="H30" i="5"/>
  <c r="I30" i="5"/>
  <c r="K30" i="5"/>
  <c r="L30" i="5"/>
  <c r="G15" i="5"/>
  <c r="K42" i="5"/>
  <c r="L42" i="5"/>
  <c r="H27" i="5"/>
  <c r="I27" i="5"/>
  <c r="H47" i="5"/>
  <c r="I47" i="5"/>
  <c r="K47" i="5"/>
  <c r="L47" i="5"/>
  <c r="H15" i="5"/>
  <c r="I15" i="5"/>
  <c r="K15" i="5"/>
  <c r="L15" i="5"/>
  <c r="H7" i="5"/>
  <c r="I7" i="5"/>
  <c r="G6" i="5"/>
  <c r="K7" i="5"/>
  <c r="L7" i="5"/>
  <c r="H6" i="5"/>
  <c r="I6" i="5"/>
  <c r="K6" i="5"/>
  <c r="L6" i="5"/>
  <c r="H5" i="5"/>
  <c r="I5" i="5"/>
  <c r="K5" i="5"/>
  <c r="L5" i="5"/>
  <c r="K32" i="2"/>
  <c r="G165" i="2"/>
  <c r="K104" i="2"/>
  <c r="G25" i="2"/>
  <c r="G16" i="2"/>
  <c r="G13" i="2"/>
  <c r="G5" i="2"/>
  <c r="K7" i="2"/>
  <c r="G4" i="2"/>
  <c r="G3" i="2"/>
  <c r="G182" i="2"/>
  <c r="G163" i="2"/>
  <c r="G191" i="2"/>
  <c r="G164" i="2"/>
  <c r="G172" i="2"/>
  <c r="G193" i="2"/>
  <c r="C189" i="2"/>
  <c r="H165" i="2"/>
  <c r="I165" i="2"/>
  <c r="K16" i="2"/>
  <c r="L16" i="2"/>
  <c r="L104" i="2"/>
  <c r="K109" i="2"/>
  <c r="L109" i="2"/>
  <c r="K121" i="2"/>
  <c r="L121" i="2"/>
  <c r="K124" i="2"/>
  <c r="L124" i="2"/>
  <c r="K183" i="2"/>
  <c r="L183" i="2"/>
  <c r="H183" i="2"/>
  <c r="I183" i="2"/>
  <c r="H115" i="2"/>
  <c r="I115" i="2"/>
  <c r="K61" i="2"/>
  <c r="L61" i="2"/>
  <c r="H69" i="2"/>
  <c r="I69" i="2"/>
  <c r="H13" i="2"/>
  <c r="I13" i="2"/>
  <c r="C61" i="2"/>
  <c r="C64" i="2"/>
  <c r="C69" i="2"/>
  <c r="C82" i="2"/>
  <c r="C75" i="2"/>
  <c r="C83" i="2"/>
  <c r="C91" i="2"/>
  <c r="C97" i="2"/>
  <c r="C104" i="2"/>
  <c r="C109" i="2"/>
  <c r="C115" i="2"/>
  <c r="C121" i="2"/>
  <c r="C124" i="2"/>
  <c r="C129" i="2"/>
  <c r="C142" i="2"/>
  <c r="C140" i="2"/>
  <c r="C139" i="2"/>
  <c r="C165" i="2"/>
  <c r="C183" i="2"/>
  <c r="C181" i="2"/>
  <c r="C16" i="2"/>
  <c r="C5" i="2"/>
  <c r="C13" i="2"/>
  <c r="C25" i="2"/>
  <c r="C33" i="2"/>
  <c r="C173" i="2"/>
  <c r="K14" i="2"/>
  <c r="L14" i="2"/>
  <c r="H14" i="2"/>
  <c r="I14" i="2"/>
  <c r="K87" i="10"/>
  <c r="L87" i="10"/>
  <c r="H5" i="10"/>
  <c r="I5" i="10"/>
  <c r="D89" i="10"/>
  <c r="D88" i="10"/>
  <c r="D87" i="10"/>
  <c r="D86" i="10"/>
  <c r="D12" i="10"/>
  <c r="C12" i="10"/>
  <c r="H173" i="2"/>
  <c r="I173" i="2"/>
  <c r="K88" i="10"/>
  <c r="L88" i="10"/>
  <c r="H88" i="10"/>
  <c r="I88" i="10"/>
  <c r="H6" i="2"/>
  <c r="I6" i="2"/>
  <c r="K18" i="10"/>
  <c r="L18" i="10"/>
  <c r="L86" i="10"/>
  <c r="K192" i="2"/>
  <c r="L192" i="2"/>
  <c r="H192" i="2"/>
  <c r="I192" i="2"/>
  <c r="K190" i="2"/>
  <c r="L190" i="2"/>
  <c r="H190" i="2"/>
  <c r="I190" i="2"/>
  <c r="K189" i="2"/>
  <c r="L189" i="2"/>
  <c r="H189" i="2"/>
  <c r="I189" i="2"/>
  <c r="K188" i="2"/>
  <c r="L188" i="2"/>
  <c r="H188" i="2"/>
  <c r="I188" i="2"/>
  <c r="K187" i="2"/>
  <c r="L187" i="2"/>
  <c r="H187" i="2"/>
  <c r="I187" i="2"/>
  <c r="K186" i="2"/>
  <c r="L186" i="2"/>
  <c r="H186" i="2"/>
  <c r="I186" i="2"/>
  <c r="K185" i="2"/>
  <c r="L185" i="2"/>
  <c r="H185" i="2"/>
  <c r="I185" i="2"/>
  <c r="K184" i="2"/>
  <c r="L184" i="2"/>
  <c r="H184" i="2"/>
  <c r="I184" i="2"/>
  <c r="K181" i="2"/>
  <c r="L181" i="2"/>
  <c r="H181" i="2"/>
  <c r="I181" i="2"/>
  <c r="K180" i="2"/>
  <c r="L180" i="2"/>
  <c r="H180" i="2"/>
  <c r="I180" i="2"/>
  <c r="K179" i="2"/>
  <c r="L179" i="2"/>
  <c r="H179" i="2"/>
  <c r="I179" i="2"/>
  <c r="K178" i="2"/>
  <c r="L178" i="2"/>
  <c r="H178" i="2"/>
  <c r="I178" i="2"/>
  <c r="K177" i="2"/>
  <c r="L177" i="2"/>
  <c r="H177" i="2"/>
  <c r="I177" i="2"/>
  <c r="K176" i="2"/>
  <c r="L176" i="2"/>
  <c r="H176" i="2"/>
  <c r="I176" i="2"/>
  <c r="K175" i="2"/>
  <c r="L175" i="2"/>
  <c r="H175" i="2"/>
  <c r="I175" i="2"/>
  <c r="K174" i="2"/>
  <c r="L174" i="2"/>
  <c r="H174" i="2"/>
  <c r="I174" i="2"/>
  <c r="K171" i="2"/>
  <c r="L171" i="2"/>
  <c r="H171" i="2"/>
  <c r="I171" i="2"/>
  <c r="K170" i="2"/>
  <c r="L170" i="2"/>
  <c r="H170" i="2"/>
  <c r="I170" i="2"/>
  <c r="K169" i="2"/>
  <c r="L169" i="2"/>
  <c r="H169" i="2"/>
  <c r="I169" i="2"/>
  <c r="K168" i="2"/>
  <c r="L168" i="2"/>
  <c r="H168" i="2"/>
  <c r="I168" i="2"/>
  <c r="K167" i="2"/>
  <c r="L167" i="2"/>
  <c r="H167" i="2"/>
  <c r="I167" i="2"/>
  <c r="K166" i="2"/>
  <c r="L166" i="2"/>
  <c r="H166" i="2"/>
  <c r="I166" i="2"/>
  <c r="K162" i="2"/>
  <c r="L162" i="2"/>
  <c r="H162" i="2"/>
  <c r="I162" i="2"/>
  <c r="K161" i="2"/>
  <c r="L161" i="2"/>
  <c r="H161" i="2"/>
  <c r="I161" i="2"/>
  <c r="K160" i="2"/>
  <c r="L160" i="2"/>
  <c r="H160" i="2"/>
  <c r="I160" i="2"/>
  <c r="K159" i="2"/>
  <c r="L159" i="2"/>
  <c r="H159" i="2"/>
  <c r="I159" i="2"/>
  <c r="K158" i="2"/>
  <c r="L158" i="2"/>
  <c r="H158" i="2"/>
  <c r="I158" i="2"/>
  <c r="K157" i="2"/>
  <c r="L157" i="2"/>
  <c r="H157" i="2"/>
  <c r="I157" i="2"/>
  <c r="K156" i="2"/>
  <c r="L156" i="2"/>
  <c r="H156" i="2"/>
  <c r="I156" i="2"/>
  <c r="K155" i="2"/>
  <c r="L155" i="2"/>
  <c r="H155" i="2"/>
  <c r="I155" i="2"/>
  <c r="K154" i="2"/>
  <c r="L154" i="2"/>
  <c r="H154" i="2"/>
  <c r="I154" i="2"/>
  <c r="K153" i="2"/>
  <c r="L153" i="2"/>
  <c r="H153" i="2"/>
  <c r="I153" i="2"/>
  <c r="K152" i="2"/>
  <c r="L152" i="2"/>
  <c r="H152" i="2"/>
  <c r="I152" i="2"/>
  <c r="K151" i="2"/>
  <c r="L151" i="2"/>
  <c r="H151" i="2"/>
  <c r="I151" i="2"/>
  <c r="K150" i="2"/>
  <c r="L150" i="2"/>
  <c r="H150" i="2"/>
  <c r="I150" i="2"/>
  <c r="K149" i="2"/>
  <c r="L149" i="2"/>
  <c r="H149" i="2"/>
  <c r="I149" i="2"/>
  <c r="K148" i="2"/>
  <c r="L148" i="2"/>
  <c r="H148" i="2"/>
  <c r="I148" i="2"/>
  <c r="K147" i="2"/>
  <c r="L147" i="2"/>
  <c r="H147" i="2"/>
  <c r="I147" i="2"/>
  <c r="K146" i="2"/>
  <c r="L146" i="2"/>
  <c r="H146" i="2"/>
  <c r="I146" i="2"/>
  <c r="K145" i="2"/>
  <c r="L145" i="2"/>
  <c r="H145" i="2"/>
  <c r="I145" i="2"/>
  <c r="K144" i="2"/>
  <c r="L144" i="2"/>
  <c r="H144" i="2"/>
  <c r="I144" i="2"/>
  <c r="K143" i="2"/>
  <c r="L143" i="2"/>
  <c r="H143" i="2"/>
  <c r="I143" i="2"/>
  <c r="K141" i="2"/>
  <c r="L141" i="2"/>
  <c r="H141" i="2"/>
  <c r="I141" i="2"/>
  <c r="K138" i="2"/>
  <c r="L138" i="2"/>
  <c r="H138" i="2"/>
  <c r="I138" i="2"/>
  <c r="K137" i="2"/>
  <c r="L137" i="2"/>
  <c r="H137" i="2"/>
  <c r="I137" i="2"/>
  <c r="K136" i="2"/>
  <c r="L136" i="2"/>
  <c r="H136" i="2"/>
  <c r="I136" i="2"/>
  <c r="K135" i="2"/>
  <c r="L135" i="2"/>
  <c r="H135" i="2"/>
  <c r="I135" i="2"/>
  <c r="K134" i="2"/>
  <c r="L134" i="2"/>
  <c r="H134" i="2"/>
  <c r="I134" i="2"/>
  <c r="K133" i="2"/>
  <c r="L133" i="2"/>
  <c r="H133" i="2"/>
  <c r="I133" i="2"/>
  <c r="K132" i="2"/>
  <c r="L132" i="2"/>
  <c r="H132" i="2"/>
  <c r="I132" i="2"/>
  <c r="K131" i="2"/>
  <c r="L131" i="2"/>
  <c r="H131" i="2"/>
  <c r="I131" i="2"/>
  <c r="K130" i="2"/>
  <c r="L130" i="2"/>
  <c r="H130" i="2"/>
  <c r="I130" i="2"/>
  <c r="K128" i="2"/>
  <c r="L128" i="2"/>
  <c r="H128" i="2"/>
  <c r="I128" i="2"/>
  <c r="K127" i="2"/>
  <c r="L127" i="2"/>
  <c r="H127" i="2"/>
  <c r="I127" i="2"/>
  <c r="K126" i="2"/>
  <c r="L126" i="2"/>
  <c r="H126" i="2"/>
  <c r="I126" i="2"/>
  <c r="K125" i="2"/>
  <c r="L125" i="2"/>
  <c r="H125" i="2"/>
  <c r="I125" i="2"/>
  <c r="K123" i="2"/>
  <c r="L123" i="2"/>
  <c r="H123" i="2"/>
  <c r="I123" i="2"/>
  <c r="K122" i="2"/>
  <c r="L122" i="2"/>
  <c r="H122" i="2"/>
  <c r="I122" i="2"/>
  <c r="K120" i="2"/>
  <c r="L120" i="2"/>
  <c r="H120" i="2"/>
  <c r="I120" i="2"/>
  <c r="K119" i="2"/>
  <c r="L119" i="2"/>
  <c r="H119" i="2"/>
  <c r="I119" i="2"/>
  <c r="K118" i="2"/>
  <c r="L118" i="2"/>
  <c r="H118" i="2"/>
  <c r="I118" i="2"/>
  <c r="K117" i="2"/>
  <c r="L117" i="2"/>
  <c r="H117" i="2"/>
  <c r="I117" i="2"/>
  <c r="K116" i="2"/>
  <c r="L116" i="2"/>
  <c r="H116" i="2"/>
  <c r="I116" i="2"/>
  <c r="K113" i="2"/>
  <c r="L113" i="2"/>
  <c r="H113" i="2"/>
  <c r="I113" i="2"/>
  <c r="K112" i="2"/>
  <c r="L112" i="2"/>
  <c r="H112" i="2"/>
  <c r="I112" i="2"/>
  <c r="K111" i="2"/>
  <c r="L111" i="2"/>
  <c r="H111" i="2"/>
  <c r="I111" i="2"/>
  <c r="K110" i="2"/>
  <c r="L110" i="2"/>
  <c r="H110" i="2"/>
  <c r="I110" i="2"/>
  <c r="H109" i="2"/>
  <c r="I109" i="2"/>
  <c r="K108" i="2"/>
  <c r="L108" i="2"/>
  <c r="H108" i="2"/>
  <c r="I108" i="2"/>
  <c r="K107" i="2"/>
  <c r="L107" i="2"/>
  <c r="H107" i="2"/>
  <c r="I107" i="2"/>
  <c r="K106" i="2"/>
  <c r="L106" i="2"/>
  <c r="H106" i="2"/>
  <c r="I106" i="2"/>
  <c r="K105" i="2"/>
  <c r="L105" i="2"/>
  <c r="H105" i="2"/>
  <c r="I105" i="2"/>
  <c r="K102" i="2"/>
  <c r="L102" i="2"/>
  <c r="H102" i="2"/>
  <c r="I102" i="2"/>
  <c r="H101" i="2"/>
  <c r="I101" i="2"/>
  <c r="K100" i="2"/>
  <c r="L100" i="2"/>
  <c r="H100" i="2"/>
  <c r="I100" i="2"/>
  <c r="K99" i="2"/>
  <c r="L99" i="2"/>
  <c r="H99" i="2"/>
  <c r="I99" i="2"/>
  <c r="K98" i="2"/>
  <c r="L98" i="2"/>
  <c r="H98" i="2"/>
  <c r="I98" i="2"/>
  <c r="H96" i="2"/>
  <c r="I96" i="2"/>
  <c r="K96" i="2"/>
  <c r="L96" i="2"/>
  <c r="H95" i="2"/>
  <c r="I95" i="2"/>
  <c r="K95" i="2"/>
  <c r="L95" i="2"/>
  <c r="K94" i="2"/>
  <c r="L94" i="2"/>
  <c r="H94" i="2"/>
  <c r="I94" i="2"/>
  <c r="K93" i="2"/>
  <c r="L93" i="2"/>
  <c r="H93" i="2"/>
  <c r="I93" i="2"/>
  <c r="K92" i="2"/>
  <c r="L92" i="2"/>
  <c r="H92" i="2"/>
  <c r="I92" i="2"/>
  <c r="H91" i="2"/>
  <c r="I91" i="2"/>
  <c r="K90" i="2"/>
  <c r="L90" i="2"/>
  <c r="H90" i="2"/>
  <c r="I90" i="2"/>
  <c r="H89" i="2"/>
  <c r="I89" i="2"/>
  <c r="K89" i="2"/>
  <c r="L89" i="2"/>
  <c r="H88" i="2"/>
  <c r="I88" i="2"/>
  <c r="K88" i="2"/>
  <c r="L88" i="2"/>
  <c r="H87" i="2"/>
  <c r="I87" i="2"/>
  <c r="K87" i="2"/>
  <c r="L87" i="2"/>
  <c r="K86" i="2"/>
  <c r="L86" i="2"/>
  <c r="H86" i="2"/>
  <c r="I86" i="2"/>
  <c r="K85" i="2"/>
  <c r="L85" i="2"/>
  <c r="H85" i="2"/>
  <c r="I85" i="2"/>
  <c r="K84" i="2"/>
  <c r="L84" i="2"/>
  <c r="H84" i="2"/>
  <c r="I84" i="2"/>
  <c r="K82" i="2"/>
  <c r="L82" i="2"/>
  <c r="H82" i="2"/>
  <c r="I82" i="2"/>
  <c r="K81" i="2"/>
  <c r="L81" i="2"/>
  <c r="H81" i="2"/>
  <c r="I81" i="2"/>
  <c r="H80" i="2"/>
  <c r="I80" i="2"/>
  <c r="K79" i="2"/>
  <c r="L79" i="2"/>
  <c r="H79" i="2"/>
  <c r="I79" i="2"/>
  <c r="K78" i="2"/>
  <c r="L78" i="2"/>
  <c r="H78" i="2"/>
  <c r="I78" i="2"/>
  <c r="K77" i="2"/>
  <c r="L77" i="2"/>
  <c r="H77" i="2"/>
  <c r="I77" i="2"/>
  <c r="K76" i="2"/>
  <c r="L76" i="2"/>
  <c r="H76" i="2"/>
  <c r="I76" i="2"/>
  <c r="K74" i="2"/>
  <c r="L74" i="2"/>
  <c r="H74" i="2"/>
  <c r="I74" i="2"/>
  <c r="K73" i="2"/>
  <c r="L73" i="2"/>
  <c r="H73" i="2"/>
  <c r="I73" i="2"/>
  <c r="K72" i="2"/>
  <c r="L72" i="2"/>
  <c r="H72" i="2"/>
  <c r="I72" i="2"/>
  <c r="K71" i="2"/>
  <c r="L71" i="2"/>
  <c r="H71" i="2"/>
  <c r="I71" i="2"/>
  <c r="K70" i="2"/>
  <c r="L70" i="2"/>
  <c r="H70" i="2"/>
  <c r="I70" i="2"/>
  <c r="K68" i="2"/>
  <c r="L68" i="2"/>
  <c r="K66" i="2"/>
  <c r="L66" i="2"/>
  <c r="H66" i="2"/>
  <c r="I66" i="2"/>
  <c r="K65" i="2"/>
  <c r="L65" i="2"/>
  <c r="H65" i="2"/>
  <c r="I65" i="2"/>
  <c r="K63" i="2"/>
  <c r="L63" i="2"/>
  <c r="H63" i="2"/>
  <c r="I63" i="2"/>
  <c r="K62" i="2"/>
  <c r="L62" i="2"/>
  <c r="H62" i="2"/>
  <c r="I62" i="2"/>
  <c r="H61" i="2"/>
  <c r="I61" i="2"/>
  <c r="K58" i="2"/>
  <c r="L58" i="2"/>
  <c r="H58" i="2"/>
  <c r="I58" i="2"/>
  <c r="K57" i="2"/>
  <c r="L57" i="2"/>
  <c r="H57" i="2"/>
  <c r="I57" i="2"/>
  <c r="K56" i="2"/>
  <c r="L56" i="2"/>
  <c r="H56" i="2"/>
  <c r="I56" i="2"/>
  <c r="K55" i="2"/>
  <c r="L55" i="2"/>
  <c r="H55" i="2"/>
  <c r="I55" i="2"/>
  <c r="K54" i="2"/>
  <c r="L54" i="2"/>
  <c r="H54" i="2"/>
  <c r="I54" i="2"/>
  <c r="K52" i="2"/>
  <c r="L52" i="2"/>
  <c r="H52" i="2"/>
  <c r="I52" i="2"/>
  <c r="K50" i="2"/>
  <c r="L50" i="2"/>
  <c r="H50" i="2"/>
  <c r="I50" i="2"/>
  <c r="K49" i="2"/>
  <c r="L49" i="2"/>
  <c r="H49" i="2"/>
  <c r="I49" i="2"/>
  <c r="K48" i="2"/>
  <c r="L48" i="2"/>
  <c r="H48" i="2"/>
  <c r="I48" i="2"/>
  <c r="K47" i="2"/>
  <c r="L47" i="2"/>
  <c r="H47" i="2"/>
  <c r="I47" i="2"/>
  <c r="K46" i="2"/>
  <c r="L46" i="2"/>
  <c r="H46" i="2"/>
  <c r="I46" i="2"/>
  <c r="K45" i="2"/>
  <c r="L45" i="2"/>
  <c r="H45" i="2"/>
  <c r="I45" i="2"/>
  <c r="K44" i="2"/>
  <c r="L44" i="2"/>
  <c r="H44" i="2"/>
  <c r="I44" i="2"/>
  <c r="K43" i="2"/>
  <c r="L43" i="2"/>
  <c r="H43" i="2"/>
  <c r="I43" i="2"/>
  <c r="K42" i="2"/>
  <c r="L42" i="2"/>
  <c r="H42" i="2"/>
  <c r="I42" i="2"/>
  <c r="K41" i="2"/>
  <c r="L41" i="2"/>
  <c r="H41" i="2"/>
  <c r="I41" i="2"/>
  <c r="H39" i="2"/>
  <c r="I39" i="2"/>
  <c r="K38" i="2"/>
  <c r="L38" i="2"/>
  <c r="H38" i="2"/>
  <c r="I38" i="2"/>
  <c r="H37" i="2"/>
  <c r="I37" i="2"/>
  <c r="H33" i="2"/>
  <c r="I33" i="2"/>
  <c r="K33" i="2"/>
  <c r="L33" i="2"/>
  <c r="L32" i="2"/>
  <c r="H32" i="2"/>
  <c r="I32" i="2"/>
  <c r="K31" i="2"/>
  <c r="L31" i="2"/>
  <c r="H31" i="2"/>
  <c r="I31" i="2"/>
  <c r="K30" i="2"/>
  <c r="L30" i="2"/>
  <c r="H30" i="2"/>
  <c r="I30" i="2"/>
  <c r="K29" i="2"/>
  <c r="L29" i="2"/>
  <c r="H29" i="2"/>
  <c r="I29" i="2"/>
  <c r="H28" i="2"/>
  <c r="I28" i="2"/>
  <c r="K28" i="2"/>
  <c r="L28" i="2"/>
  <c r="K27" i="2"/>
  <c r="L27" i="2"/>
  <c r="H27" i="2"/>
  <c r="I27" i="2"/>
  <c r="H26" i="2"/>
  <c r="I26" i="2"/>
  <c r="H25" i="2"/>
  <c r="I25" i="2"/>
  <c r="K24" i="2"/>
  <c r="L24" i="2"/>
  <c r="H24" i="2"/>
  <c r="I24" i="2"/>
  <c r="K23" i="2"/>
  <c r="L23" i="2"/>
  <c r="H23" i="2"/>
  <c r="I23" i="2"/>
  <c r="K22" i="2"/>
  <c r="L22" i="2"/>
  <c r="H22" i="2"/>
  <c r="I22" i="2"/>
  <c r="K21" i="2"/>
  <c r="L21" i="2"/>
  <c r="H21" i="2"/>
  <c r="I21" i="2"/>
  <c r="K20" i="2"/>
  <c r="L20" i="2"/>
  <c r="H20" i="2"/>
  <c r="I20" i="2"/>
  <c r="K19" i="2"/>
  <c r="L19" i="2"/>
  <c r="H19" i="2"/>
  <c r="I19" i="2"/>
  <c r="L18" i="2"/>
  <c r="H18" i="2"/>
  <c r="I18" i="2"/>
  <c r="K17" i="2"/>
  <c r="L17" i="2"/>
  <c r="H17" i="2"/>
  <c r="I17" i="2"/>
  <c r="H16" i="2"/>
  <c r="I16" i="2"/>
  <c r="K15" i="2"/>
  <c r="L15" i="2"/>
  <c r="H15" i="2"/>
  <c r="I15" i="2"/>
  <c r="K12" i="2"/>
  <c r="L12" i="2"/>
  <c r="H12" i="2"/>
  <c r="I12" i="2"/>
  <c r="K11" i="2"/>
  <c r="L11" i="2"/>
  <c r="H11" i="2"/>
  <c r="I11" i="2"/>
  <c r="K10" i="2"/>
  <c r="L10" i="2"/>
  <c r="H10" i="2"/>
  <c r="I10" i="2"/>
  <c r="K9" i="2"/>
  <c r="L9" i="2"/>
  <c r="H9" i="2"/>
  <c r="I9" i="2"/>
  <c r="K8" i="2"/>
  <c r="L8" i="2"/>
  <c r="H8" i="2"/>
  <c r="I8" i="2"/>
  <c r="L7" i="2"/>
  <c r="H7" i="2"/>
  <c r="I7" i="2"/>
  <c r="K6" i="2"/>
  <c r="L6" i="2"/>
  <c r="H53" i="2"/>
  <c r="H51" i="2"/>
  <c r="K53" i="2"/>
  <c r="L53" i="2"/>
  <c r="H40" i="2"/>
  <c r="I40" i="2"/>
  <c r="K69" i="2"/>
  <c r="L69" i="2"/>
  <c r="K26" i="2"/>
  <c r="L26" i="2"/>
  <c r="K40" i="2"/>
  <c r="L40" i="2"/>
  <c r="H142" i="2"/>
  <c r="I142" i="2"/>
  <c r="K80" i="2"/>
  <c r="L80" i="2"/>
  <c r="H68" i="2"/>
  <c r="I68" i="2"/>
  <c r="K142" i="2"/>
  <c r="L142" i="2"/>
  <c r="K101" i="2"/>
  <c r="L101" i="2"/>
  <c r="K51" i="2"/>
  <c r="L51" i="2"/>
  <c r="H36" i="2"/>
  <c r="I36" i="2"/>
  <c r="H35" i="2"/>
  <c r="I35" i="2"/>
  <c r="H86" i="10"/>
  <c r="I86" i="10"/>
  <c r="K82" i="10"/>
  <c r="L82" i="10"/>
  <c r="H82" i="10"/>
  <c r="I82" i="10"/>
  <c r="K81" i="10"/>
  <c r="L81" i="10"/>
  <c r="H81" i="10"/>
  <c r="I81" i="10"/>
  <c r="K80" i="10"/>
  <c r="L80" i="10"/>
  <c r="H80" i="10"/>
  <c r="I80" i="10"/>
  <c r="K79" i="10"/>
  <c r="L79" i="10"/>
  <c r="H79" i="10"/>
  <c r="I79" i="10"/>
  <c r="K77" i="10"/>
  <c r="L77" i="10"/>
  <c r="H77" i="10"/>
  <c r="I77" i="10"/>
  <c r="K76" i="10"/>
  <c r="L76" i="10"/>
  <c r="H76" i="10"/>
  <c r="I76" i="10"/>
  <c r="K75" i="10"/>
  <c r="L75" i="10"/>
  <c r="H75" i="10"/>
  <c r="I75" i="10"/>
  <c r="K74" i="10"/>
  <c r="L74" i="10"/>
  <c r="H74" i="10"/>
  <c r="I74" i="10"/>
  <c r="K73" i="10"/>
  <c r="L73" i="10"/>
  <c r="H73" i="10"/>
  <c r="I73" i="10"/>
  <c r="K72" i="10"/>
  <c r="L72" i="10"/>
  <c r="H72" i="10"/>
  <c r="I72" i="10"/>
  <c r="K71" i="10"/>
  <c r="L71" i="10"/>
  <c r="H71" i="10"/>
  <c r="I71" i="10"/>
  <c r="K70" i="10"/>
  <c r="L70" i="10"/>
  <c r="H70" i="10"/>
  <c r="I70" i="10"/>
  <c r="K69" i="10"/>
  <c r="L69" i="10"/>
  <c r="H69" i="10"/>
  <c r="I69" i="10"/>
  <c r="K68" i="10"/>
  <c r="L68" i="10"/>
  <c r="H68" i="10"/>
  <c r="I68" i="10"/>
  <c r="K67" i="10"/>
  <c r="L67" i="10"/>
  <c r="H67" i="10"/>
  <c r="I67" i="10"/>
  <c r="K66" i="10"/>
  <c r="L66" i="10"/>
  <c r="H66" i="10"/>
  <c r="I66" i="10"/>
  <c r="K65" i="10"/>
  <c r="L65" i="10"/>
  <c r="H65" i="10"/>
  <c r="I65" i="10"/>
  <c r="K64" i="10"/>
  <c r="L64" i="10"/>
  <c r="H64" i="10"/>
  <c r="I64" i="10"/>
  <c r="K63" i="10"/>
  <c r="L63" i="10"/>
  <c r="H63" i="10"/>
  <c r="I63" i="10"/>
  <c r="K62" i="10"/>
  <c r="L62" i="10"/>
  <c r="H62" i="10"/>
  <c r="I62" i="10"/>
  <c r="K61" i="10"/>
  <c r="L61" i="10"/>
  <c r="H61" i="10"/>
  <c r="I61" i="10"/>
  <c r="K60" i="10"/>
  <c r="L60" i="10"/>
  <c r="H60" i="10"/>
  <c r="I60" i="10"/>
  <c r="K59" i="10"/>
  <c r="L59" i="10"/>
  <c r="H59" i="10"/>
  <c r="I59" i="10"/>
  <c r="K58" i="10"/>
  <c r="L58" i="10"/>
  <c r="H58" i="10"/>
  <c r="I58" i="10"/>
  <c r="K57" i="10"/>
  <c r="L57" i="10"/>
  <c r="H57" i="10"/>
  <c r="I57" i="10"/>
  <c r="K56" i="10"/>
  <c r="L56" i="10"/>
  <c r="H56" i="10"/>
  <c r="I56" i="10"/>
  <c r="K55" i="10"/>
  <c r="L55" i="10"/>
  <c r="H55" i="10"/>
  <c r="I55" i="10"/>
  <c r="K54" i="10"/>
  <c r="L54" i="10"/>
  <c r="H54" i="10"/>
  <c r="I54" i="10"/>
  <c r="K5" i="10"/>
  <c r="L5" i="10"/>
  <c r="H6" i="10"/>
  <c r="I6" i="10"/>
  <c r="H7" i="10"/>
  <c r="I7" i="10"/>
  <c r="H8" i="10"/>
  <c r="I8" i="10"/>
  <c r="H9" i="10"/>
  <c r="I9" i="10"/>
  <c r="H10" i="10"/>
  <c r="I10" i="10"/>
  <c r="H11" i="10"/>
  <c r="I11" i="10"/>
  <c r="H12" i="10"/>
  <c r="I12" i="10"/>
  <c r="H13" i="10"/>
  <c r="I13" i="10"/>
  <c r="H14" i="10"/>
  <c r="I14" i="10"/>
  <c r="H16" i="10"/>
  <c r="I16" i="10"/>
  <c r="H17" i="10"/>
  <c r="I17" i="10"/>
  <c r="H18" i="10"/>
  <c r="I18" i="10"/>
  <c r="H19" i="10"/>
  <c r="I19" i="10"/>
  <c r="H20" i="10"/>
  <c r="I20" i="10"/>
  <c r="H21" i="10"/>
  <c r="I21" i="10"/>
  <c r="H22" i="10"/>
  <c r="I22" i="10"/>
  <c r="H23" i="10"/>
  <c r="I23" i="10"/>
  <c r="H24" i="10"/>
  <c r="I24" i="10"/>
  <c r="H25" i="10"/>
  <c r="I25" i="10"/>
  <c r="H26" i="10"/>
  <c r="I26" i="10"/>
  <c r="H27" i="10"/>
  <c r="I27" i="10"/>
  <c r="H28" i="10"/>
  <c r="I28" i="10"/>
  <c r="H29" i="10"/>
  <c r="I29" i="10"/>
  <c r="H30" i="10"/>
  <c r="I30" i="10"/>
  <c r="H32" i="10"/>
  <c r="I32" i="10"/>
  <c r="H33" i="10"/>
  <c r="I33" i="10"/>
  <c r="H34" i="10"/>
  <c r="I34" i="10"/>
  <c r="H35" i="10"/>
  <c r="I35" i="10"/>
  <c r="H36" i="10"/>
  <c r="I36" i="10"/>
  <c r="H37" i="10"/>
  <c r="I37" i="10"/>
  <c r="H38" i="10"/>
  <c r="I38" i="10"/>
  <c r="H39" i="10"/>
  <c r="I39" i="10"/>
  <c r="H40" i="10"/>
  <c r="I40" i="10"/>
  <c r="K40" i="10"/>
  <c r="L40" i="10"/>
  <c r="K39" i="10"/>
  <c r="L39" i="10"/>
  <c r="K38" i="10"/>
  <c r="L38" i="10"/>
  <c r="K37" i="10"/>
  <c r="L37" i="10"/>
  <c r="K36" i="10"/>
  <c r="L36" i="10"/>
  <c r="K35" i="10"/>
  <c r="L35" i="10"/>
  <c r="K34" i="10"/>
  <c r="L34" i="10"/>
  <c r="K33" i="10"/>
  <c r="L33" i="10"/>
  <c r="K32" i="10"/>
  <c r="L32" i="10"/>
  <c r="K30" i="10"/>
  <c r="L30" i="10"/>
  <c r="K29" i="10"/>
  <c r="L29" i="10"/>
  <c r="K28" i="10"/>
  <c r="L28" i="10"/>
  <c r="K27" i="10"/>
  <c r="L27" i="10"/>
  <c r="K26" i="10"/>
  <c r="L26" i="10"/>
  <c r="K25" i="10"/>
  <c r="L25" i="10"/>
  <c r="K24" i="10"/>
  <c r="L24" i="10"/>
  <c r="K23" i="10"/>
  <c r="L23" i="10"/>
  <c r="K22" i="10"/>
  <c r="L22" i="10"/>
  <c r="K21" i="10"/>
  <c r="L21" i="10"/>
  <c r="K20" i="10"/>
  <c r="L20" i="10"/>
  <c r="K19" i="10"/>
  <c r="L19" i="10"/>
  <c r="K17" i="10"/>
  <c r="L17" i="10"/>
  <c r="K16" i="10"/>
  <c r="L16" i="10"/>
  <c r="K14" i="10"/>
  <c r="L14" i="10"/>
  <c r="K13" i="10"/>
  <c r="L13" i="10"/>
  <c r="K12" i="10"/>
  <c r="L12" i="10"/>
  <c r="K11" i="10"/>
  <c r="L11" i="10"/>
  <c r="K10" i="10"/>
  <c r="L10" i="10"/>
  <c r="K9" i="10"/>
  <c r="L9" i="10"/>
  <c r="K8" i="10"/>
  <c r="L8" i="10"/>
  <c r="K7" i="10"/>
  <c r="L7" i="10"/>
  <c r="K6" i="10"/>
  <c r="L6" i="10"/>
  <c r="H42" i="10"/>
  <c r="I42" i="10"/>
  <c r="K42" i="10"/>
  <c r="L42" i="10"/>
  <c r="H43" i="10"/>
  <c r="I43" i="10"/>
  <c r="K43" i="10"/>
  <c r="L43" i="10"/>
  <c r="H44" i="10"/>
  <c r="I44" i="10"/>
  <c r="K44" i="10"/>
  <c r="L44" i="10"/>
  <c r="H45" i="10"/>
  <c r="I45" i="10"/>
  <c r="K45" i="10"/>
  <c r="L45" i="10"/>
  <c r="H46" i="10"/>
  <c r="I46" i="10"/>
  <c r="K46" i="10"/>
  <c r="L46" i="10"/>
  <c r="H48" i="10"/>
  <c r="I48" i="10"/>
  <c r="K48" i="10"/>
  <c r="L48" i="10"/>
  <c r="H49" i="10"/>
  <c r="I49" i="10"/>
  <c r="K49" i="10"/>
  <c r="L49" i="10"/>
  <c r="H50" i="10"/>
  <c r="I50" i="10"/>
  <c r="K50" i="10"/>
  <c r="L50" i="10"/>
  <c r="H51" i="10"/>
  <c r="I51" i="10"/>
  <c r="K51" i="10"/>
  <c r="L51" i="10"/>
  <c r="H52" i="10"/>
  <c r="I52" i="10"/>
  <c r="K52" i="10"/>
  <c r="L52" i="10"/>
  <c r="H87" i="10"/>
  <c r="I87" i="10"/>
  <c r="K91" i="10"/>
  <c r="L91" i="10"/>
  <c r="K89" i="10"/>
  <c r="L89" i="10"/>
  <c r="K85" i="10"/>
  <c r="L85" i="10"/>
  <c r="K84" i="10"/>
  <c r="L84" i="10"/>
  <c r="H91" i="10"/>
  <c r="I91" i="10"/>
  <c r="H89" i="10"/>
  <c r="I89" i="10"/>
  <c r="H85" i="10"/>
  <c r="I85" i="10"/>
  <c r="H84" i="10"/>
  <c r="I84" i="10"/>
  <c r="K91" i="2"/>
  <c r="L91" i="2"/>
  <c r="K139" i="2"/>
  <c r="L139" i="2"/>
  <c r="H129" i="2"/>
  <c r="I129" i="2"/>
  <c r="H97" i="2"/>
  <c r="I97" i="2"/>
  <c r="K115" i="2"/>
  <c r="L115" i="2"/>
  <c r="H83" i="2"/>
  <c r="I83" i="2"/>
  <c r="K165" i="2"/>
  <c r="L165" i="2"/>
  <c r="K64" i="2"/>
  <c r="L64" i="2"/>
  <c r="K129" i="2"/>
  <c r="L129" i="2"/>
  <c r="K140" i="2"/>
  <c r="L140" i="2"/>
  <c r="K173" i="2"/>
  <c r="L173" i="2"/>
  <c r="C4" i="2"/>
  <c r="C3" i="2"/>
  <c r="C182" i="2"/>
  <c r="K13" i="2"/>
  <c r="L13" i="2"/>
  <c r="K83" i="2"/>
  <c r="L83" i="2"/>
  <c r="C67" i="2"/>
  <c r="H121" i="2"/>
  <c r="I121" i="2"/>
  <c r="H124" i="2"/>
  <c r="I124" i="2"/>
  <c r="H75" i="2"/>
  <c r="I75" i="2"/>
  <c r="K75" i="2"/>
  <c r="L75" i="2"/>
  <c r="H139" i="2"/>
  <c r="I139" i="2"/>
  <c r="C60" i="2"/>
  <c r="H140" i="2"/>
  <c r="I140" i="2"/>
  <c r="K25" i="2"/>
  <c r="L25" i="2"/>
  <c r="K97" i="2"/>
  <c r="L97" i="2"/>
  <c r="H64" i="2"/>
  <c r="I64" i="2"/>
  <c r="C114" i="2"/>
  <c r="C103" i="2"/>
  <c r="H104" i="2"/>
  <c r="I104" i="2"/>
  <c r="K5" i="2"/>
  <c r="L5" i="2"/>
  <c r="H5" i="2"/>
  <c r="I5" i="2"/>
  <c r="H60" i="2"/>
  <c r="I60" i="2"/>
  <c r="K67" i="2"/>
  <c r="L67" i="2"/>
  <c r="K60" i="2"/>
  <c r="L60" i="2"/>
  <c r="H114" i="2"/>
  <c r="I114" i="2"/>
  <c r="K114" i="2"/>
  <c r="L114" i="2"/>
  <c r="H67" i="2"/>
  <c r="I67" i="2"/>
  <c r="H103" i="2"/>
  <c r="I103" i="2"/>
  <c r="C59" i="2"/>
  <c r="C34" i="2"/>
  <c r="C163" i="2"/>
  <c r="C191" i="2"/>
  <c r="H4" i="2"/>
  <c r="I4" i="2"/>
  <c r="K4" i="2"/>
  <c r="L4" i="2"/>
  <c r="H3" i="2"/>
  <c r="I3" i="2"/>
  <c r="K3" i="2"/>
  <c r="L3" i="2"/>
  <c r="H59" i="2"/>
  <c r="I59" i="2"/>
  <c r="K103" i="2"/>
  <c r="L103" i="2"/>
  <c r="C164" i="2"/>
  <c r="C172" i="2"/>
  <c r="C193" i="2"/>
  <c r="K59" i="2"/>
  <c r="L59" i="2"/>
  <c r="H34" i="2"/>
  <c r="I34" i="2"/>
  <c r="K182" i="2"/>
  <c r="L182" i="2"/>
  <c r="H182" i="2"/>
  <c r="I182" i="2"/>
  <c r="H163" i="2"/>
  <c r="I163" i="2"/>
  <c r="H164" i="2"/>
  <c r="I164" i="2"/>
  <c r="H191" i="2"/>
  <c r="I191" i="2"/>
  <c r="H172" i="2"/>
  <c r="I172" i="2"/>
  <c r="H193" i="2"/>
  <c r="I193" i="2"/>
  <c r="K39" i="2"/>
  <c r="L39" i="2"/>
  <c r="K37" i="2"/>
  <c r="L37" i="2"/>
  <c r="K36" i="2"/>
  <c r="L36" i="2"/>
  <c r="K35" i="2"/>
  <c r="L35" i="2"/>
  <c r="K34" i="2"/>
  <c r="L34" i="2"/>
  <c r="K191" i="2"/>
  <c r="L191" i="2"/>
  <c r="K163" i="2"/>
  <c r="L163" i="2"/>
  <c r="K164" i="2"/>
  <c r="L164" i="2"/>
  <c r="K193" i="2"/>
  <c r="L193" i="2"/>
  <c r="K172" i="2"/>
  <c r="L172" i="2"/>
  <c r="C30" i="14" l="1"/>
  <c r="C3" i="14"/>
  <c r="D55" i="5"/>
  <c r="D53" i="5" s="1"/>
  <c r="D105" i="5" s="1"/>
  <c r="D133" i="5" s="1"/>
  <c r="D138" i="5" s="1"/>
  <c r="H101" i="5"/>
  <c r="I101" i="5" s="1"/>
  <c r="K111" i="5"/>
  <c r="L111" i="5" s="1"/>
  <c r="K114" i="5"/>
  <c r="L114" i="5" s="1"/>
  <c r="H123" i="5"/>
  <c r="I123" i="5" s="1"/>
  <c r="K123" i="5"/>
  <c r="L123" i="5" s="1"/>
  <c r="H120" i="5"/>
  <c r="I120" i="5" s="1"/>
  <c r="K120" i="5"/>
  <c r="L120" i="5" s="1"/>
  <c r="K117" i="5"/>
  <c r="L117" i="5" s="1"/>
  <c r="G45" i="5"/>
  <c r="H34" i="5"/>
  <c r="I34" i="5" s="1"/>
  <c r="K34" i="5"/>
  <c r="L34" i="5" s="1"/>
  <c r="K35" i="5"/>
  <c r="L35" i="5" s="1"/>
  <c r="H35" i="5"/>
  <c r="I35" i="5" s="1"/>
  <c r="E110" i="5"/>
  <c r="E107" i="5" s="1"/>
  <c r="E130" i="5" s="1"/>
  <c r="E72" i="5"/>
  <c r="K72" i="5" s="1"/>
  <c r="L72" i="5" s="1"/>
  <c r="C72" i="5"/>
  <c r="H114" i="5"/>
  <c r="I114" i="5" s="1"/>
  <c r="H66" i="5"/>
  <c r="I66" i="5" s="1"/>
  <c r="G110" i="5"/>
  <c r="E56" i="5"/>
  <c r="K56" i="5" s="1"/>
  <c r="L56" i="5" s="1"/>
  <c r="C56" i="5"/>
  <c r="H56" i="5"/>
  <c r="I56" i="5" s="1"/>
  <c r="C110" i="5"/>
  <c r="C107" i="5" s="1"/>
  <c r="C130" i="5" s="1"/>
  <c r="E88" i="5"/>
  <c r="K88" i="5" s="1"/>
  <c r="L88" i="5" s="1"/>
  <c r="H60" i="5"/>
  <c r="I60" i="5" s="1"/>
  <c r="H111" i="5"/>
  <c r="I111" i="5" s="1"/>
  <c r="C88" i="5"/>
  <c r="H89" i="5"/>
  <c r="I89" i="5" s="1"/>
  <c r="H117" i="5"/>
  <c r="I117" i="5" s="1"/>
  <c r="F55" i="5"/>
  <c r="F53" i="5" s="1"/>
  <c r="F105" i="5" s="1"/>
  <c r="F133" i="5" s="1"/>
  <c r="F138" i="5" s="1"/>
  <c r="H138" i="5" s="1"/>
  <c r="I138" i="5" s="1"/>
  <c r="H73" i="5"/>
  <c r="I73" i="5" s="1"/>
  <c r="H110" i="5" l="1"/>
  <c r="I110" i="5" s="1"/>
  <c r="K110" i="5"/>
  <c r="L110" i="5" s="1"/>
  <c r="K45" i="5"/>
  <c r="L45" i="5" s="1"/>
  <c r="H45" i="5"/>
  <c r="I45" i="5" s="1"/>
  <c r="E55" i="5"/>
  <c r="C55" i="5"/>
  <c r="C53" i="5" s="1"/>
  <c r="C105" i="5" s="1"/>
  <c r="C133" i="5" s="1"/>
  <c r="G107" i="5"/>
  <c r="K107" i="5" s="1"/>
  <c r="L107" i="5" s="1"/>
  <c r="H88" i="5"/>
  <c r="I88" i="5" s="1"/>
  <c r="H53" i="5"/>
  <c r="I53" i="5" s="1"/>
  <c r="G105" i="5"/>
  <c r="H55" i="5"/>
  <c r="I55" i="5" s="1"/>
  <c r="G130" i="5" l="1"/>
  <c r="K130" i="5" s="1"/>
  <c r="L130" i="5" s="1"/>
  <c r="E53" i="5"/>
  <c r="K55" i="5"/>
  <c r="L55" i="5" s="1"/>
  <c r="H107" i="5"/>
  <c r="I107" i="5" s="1"/>
  <c r="H105" i="5"/>
  <c r="I105" i="5" s="1"/>
  <c r="G133" i="5" l="1"/>
  <c r="H133" i="5" s="1"/>
  <c r="I133" i="5" s="1"/>
  <c r="H130" i="5"/>
  <c r="I130" i="5" s="1"/>
  <c r="E105" i="5"/>
  <c r="K53" i="5"/>
  <c r="L53" i="5" s="1"/>
  <c r="E133" i="5" l="1"/>
  <c r="K133" i="5" s="1"/>
  <c r="L133" i="5" s="1"/>
  <c r="K105" i="5"/>
  <c r="L105" i="5" s="1"/>
</calcChain>
</file>

<file path=xl/sharedStrings.xml><?xml version="1.0" encoding="utf-8"?>
<sst xmlns="http://schemas.openxmlformats.org/spreadsheetml/2006/main" count="1241" uniqueCount="920">
  <si>
    <t>Kods</t>
  </si>
  <si>
    <t>A</t>
  </si>
  <si>
    <t>I   IEŅĒMUMI NO SAIMNIECISKĀS DARBĪBAS KOPĀ</t>
  </si>
  <si>
    <t>Valsts budžeta līdzekļi</t>
  </si>
  <si>
    <t xml:space="preserve">stacionārai palīdzībai </t>
  </si>
  <si>
    <t>pacientu iemaksas par atbrīvotajām kategorijām (stacionāram)</t>
  </si>
  <si>
    <t>ambulatorai palīdzībai</t>
  </si>
  <si>
    <t>pacientu iemaksas par atbrīvotajām kategorijām (ambulatorai p.)</t>
  </si>
  <si>
    <t>asins sagatavošanas nodaļas pakalpojumiem</t>
  </si>
  <si>
    <t>citi ieņēmumi (piem.reģistru uztur., retajiem medikam. utt.)</t>
  </si>
  <si>
    <t>Ieņēmumi par valsts finansēto zinātnisko darbību (TOP;GRANTI)</t>
  </si>
  <si>
    <t>Valsts pārvaldes deleģēto uzdevumu veikšana (Černobiļas apliecības izsniegšana)</t>
  </si>
  <si>
    <t>Pakalpojumi no maznodrošinātajiem</t>
  </si>
  <si>
    <t>Dotācija no pašvaldības budžeta</t>
  </si>
  <si>
    <t>Uzņēmuma  nopelnītie līdzekļi</t>
  </si>
  <si>
    <t>pārējie saimnieciskās darbības ieņēmumi</t>
  </si>
  <si>
    <t>Saņemtās pacientu iemaksas (stacionāram)</t>
  </si>
  <si>
    <t>Saņemtās pacientu iemaksas (ambulatorai p.)</t>
  </si>
  <si>
    <t>Ziedojumi</t>
  </si>
  <si>
    <t>Pacienta līdzmaksājums par operāciju</t>
  </si>
  <si>
    <t>B</t>
  </si>
  <si>
    <t>1000</t>
  </si>
  <si>
    <t>ATLĪDZĪBA</t>
  </si>
  <si>
    <t>Atalgojums - kopā</t>
  </si>
  <si>
    <t>Mēneša amatalga</t>
  </si>
  <si>
    <t>Samaksa par darbu svētku dienās un virsstundu darbu</t>
  </si>
  <si>
    <t>Piemaksa par izdienu</t>
  </si>
  <si>
    <t>Piemaksa par personisko darba ieguldījumu un darba kvalitāti</t>
  </si>
  <si>
    <t>Piemaksa par papildu darbu</t>
  </si>
  <si>
    <t>Citas normatīvajos aktos noteiktās piemaksas, kas nav iepriekš klasificētas</t>
  </si>
  <si>
    <t>Atalgojums fiziskajām personām uz tiesiskās attiecības regulējošu dokumentu pamata</t>
  </si>
  <si>
    <t>Darba devēja piešķirtie labumi un maksājumi</t>
  </si>
  <si>
    <t>Darba devēja valsts sociālās apdrošināšanas obligātās iemaksas, sociāla rakstura pabalsti un kompensācijas</t>
  </si>
  <si>
    <t>Valsts sociālās apdrošināšanas  obligātās iemaksas</t>
  </si>
  <si>
    <t>Darba devēja sociāla rakstura pabalsti, kompensācijas un citi maksājumi</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</si>
  <si>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</si>
  <si>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</si>
  <si>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</si>
  <si>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</si>
  <si>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PRECES UN PAKALPOJUMI</t>
  </si>
  <si>
    <t>Iekšzemes mācību, darba un dienesta komandējumi, dienesta, darba braucieni</t>
  </si>
  <si>
    <t>Dienas nauda</t>
  </si>
  <si>
    <t>Ārvalstu mācību, darba un dienesta komandējumi, dienesta, darba braucieni</t>
  </si>
  <si>
    <t>Pakalpojumi</t>
  </si>
  <si>
    <t>Izdevumi par komunālajiem pakalpojumiem</t>
  </si>
  <si>
    <t>Izdevumi par elektroenerģiju</t>
  </si>
  <si>
    <t>Izdevumi par pārējiem komunālajiem pakalpojumiem</t>
  </si>
  <si>
    <t>Izdevumi par transporta pakalpojumiem</t>
  </si>
  <si>
    <t>Normatīvajos aktos noteiktie darba devēja veselības izdevumi darba ņēmējiem</t>
  </si>
  <si>
    <t>Transportlīdzekļu uzturēšana un remonts</t>
  </si>
  <si>
    <t>Iekārtas, inventāra un aparatūras remonts, tehniskā apkalpošana</t>
  </si>
  <si>
    <t>Apdrošināšanas izdevumi</t>
  </si>
  <si>
    <t>Pārējie remontdarbu un iestāžu uzturēšanas pakalpojumi</t>
  </si>
  <si>
    <t>Informācijas tehnoloģiju pakalpojumi</t>
  </si>
  <si>
    <t>Īre un noma</t>
  </si>
  <si>
    <t>Ēku, telpu īre un noma</t>
  </si>
  <si>
    <t>Transportlīdzekļu noma</t>
  </si>
  <si>
    <t>Zemes noma</t>
  </si>
  <si>
    <t>Pārējā noma</t>
  </si>
  <si>
    <t>Izdevumi par tiesvedības darbiem</t>
  </si>
  <si>
    <t>Maksa par zinātniskās pētniecības darbu izpildi</t>
  </si>
  <si>
    <t>Maksājumi par saņemtajiem finanšu pakalpojumiem</t>
  </si>
  <si>
    <t>Krājumi, materiāli, energoresursi, preces, biroja preces un inventārs, kurus neuzskaita kodā 5000</t>
  </si>
  <si>
    <t>Biroja preces</t>
  </si>
  <si>
    <t>Inventārs</t>
  </si>
  <si>
    <t>Kurināmais un enerģētiskie materiāli</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</si>
  <si>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</si>
  <si>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</si>
  <si>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</si>
  <si>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</si>
  <si>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</si>
  <si>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</si>
  <si>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Mīkstais inventārs</t>
  </si>
  <si>
    <t>Virtuves inventārs, trauki un galda piederumi</t>
  </si>
  <si>
    <t>Ēdināšanas izdevumi</t>
  </si>
  <si>
    <t>Apdrošināšanas izdevumi veselības, dzīvības un nelaimes gadījumu apdrošināšanai</t>
  </si>
  <si>
    <t>Mācību līdzekļi un materiāli</t>
  </si>
  <si>
    <t>Specifiskie materiāli un inventārs</t>
  </si>
  <si>
    <t>Pārējās preces</t>
  </si>
  <si>
    <t>Pievienotās vērtības nodokļa maksājumi</t>
  </si>
  <si>
    <t>Iedzīvotāju ienākuma nodoklis (no maksātnespējīgā darba devēja darbinieku prasījumu summām)</t>
  </si>
  <si>
    <t>Dabas resursu nodokļa maksājumi</t>
  </si>
  <si>
    <t>Uzņēmējdarbības riska valsts nodeva</t>
  </si>
  <si>
    <t>Pārējie pārskaitītie nodokļi un nodevas</t>
  </si>
  <si>
    <t>Pakalpojumi, kurus budžeta iestādes apmaksā noteikto funkciju ietvaros, kas nav iestādes administratīvie izdevumi</t>
  </si>
  <si>
    <t>PROCENTU IZDEVUMI</t>
  </si>
  <si>
    <t>Procentu maksājumi ārvalstu un starptautiskajām finanšu institūcijām</t>
  </si>
  <si>
    <t>Procentu maksājumi ārvalstu un starptautiskajām finanšu institūcijām no atvasināto finanšu instrumentu rezultāta</t>
  </si>
  <si>
    <t>Procentu maksājumi iekšzemes kredītiestādēm</t>
  </si>
  <si>
    <t>Procentu maksājumi iekšzemes kredītiestādēm no atvasināto finanšu instrumentu rezultāta</t>
  </si>
  <si>
    <t>Pārējie procentu maksājumi</t>
  </si>
  <si>
    <t>Procentu maksājumi Valsts kasei</t>
  </si>
  <si>
    <t>C</t>
  </si>
  <si>
    <t>KOPĀ IZDEVUMI</t>
  </si>
  <si>
    <t>D</t>
  </si>
  <si>
    <t>N O L I E T O J U M S</t>
  </si>
  <si>
    <t>Pamatlīdzekļu nolietojums</t>
  </si>
  <si>
    <t>Pamatlīdzekļu nolietojums (bez administrācijas un ēdināšanas izmaksām)</t>
  </si>
  <si>
    <t>Administratīvās daļas pamatlīdzekļu nolietojums</t>
  </si>
  <si>
    <t>Pamatlīdzekļu nolietojums, kas saistīts ar ēdināšanas nodrošināšanu</t>
  </si>
  <si>
    <t>E</t>
  </si>
  <si>
    <t>III  PĀRĒJIE IEŅĒMUMI</t>
  </si>
  <si>
    <t>Depozītnoguldījumi</t>
  </si>
  <si>
    <t>Saņemtās soda naudas</t>
  </si>
  <si>
    <t>Atmaksātās mācību maksas</t>
  </si>
  <si>
    <t xml:space="preserve">Ieņēmumi no pamatlīdzekļu izslēgšanas </t>
  </si>
  <si>
    <t>Ieņēmumuos ieskaitītās pārvērtēšanas rezerves samazinājums</t>
  </si>
  <si>
    <t>Citi ieņēmumi</t>
  </si>
  <si>
    <t>F</t>
  </si>
  <si>
    <t>III IEŅĒMUMI PAVISAM (I+III)</t>
  </si>
  <si>
    <t>IV  PĀRĒJIE IZDEVUMI</t>
  </si>
  <si>
    <t>Citi izdevumi</t>
  </si>
  <si>
    <t>Norakstīto pamatlīdzekļu atlikusī vērtība</t>
  </si>
  <si>
    <t>Izdevumi no valūtas konvertācijas</t>
  </si>
  <si>
    <t>G</t>
  </si>
  <si>
    <t>IV IZDEVUMI   PAVISAM (II + IV)</t>
  </si>
  <si>
    <t>Atliktā UIN saistības</t>
  </si>
  <si>
    <t xml:space="preserve"> V PEĻŅA  VAI  ZAUDĒJUMI</t>
  </si>
  <si>
    <t>0010</t>
  </si>
  <si>
    <t>00110</t>
  </si>
  <si>
    <t>Valsts apmaksātie veselības aprūpes pakalpojumi</t>
  </si>
  <si>
    <t>00111</t>
  </si>
  <si>
    <t>00112</t>
  </si>
  <si>
    <t>00113</t>
  </si>
  <si>
    <t>00114</t>
  </si>
  <si>
    <t>00120</t>
  </si>
  <si>
    <t>Valsts apmaksātie sociālie pakalpojumi</t>
  </si>
  <si>
    <t>00121</t>
  </si>
  <si>
    <t>Sociālās aprūpes pakalpojumi</t>
  </si>
  <si>
    <t>00122</t>
  </si>
  <si>
    <t>Sociālās rehabilitācijas pakalpojumi</t>
  </si>
  <si>
    <t>00130</t>
  </si>
  <si>
    <t>Ieņēmumi par izglītojošo in zinātnisko darbību</t>
  </si>
  <si>
    <t>00131</t>
  </si>
  <si>
    <t>Ieņēmumi par rezidentu apmācību</t>
  </si>
  <si>
    <t>00132</t>
  </si>
  <si>
    <t>00140</t>
  </si>
  <si>
    <t>00141</t>
  </si>
  <si>
    <t>00142</t>
  </si>
  <si>
    <t>00143</t>
  </si>
  <si>
    <t>00144</t>
  </si>
  <si>
    <t>0020</t>
  </si>
  <si>
    <t>00211</t>
  </si>
  <si>
    <t>0030</t>
  </si>
  <si>
    <t>maksas veselības aprūpes pakalpojumi</t>
  </si>
  <si>
    <t>maksas sociālie pakalpojumi</t>
  </si>
  <si>
    <t>00313</t>
  </si>
  <si>
    <t>Piemaksa par nakts darbu</t>
  </si>
  <si>
    <t>Finansējums valsts galvotā aizdevuma saistību atmaksas nodrošināšanai</t>
  </si>
  <si>
    <t>0040</t>
  </si>
  <si>
    <t>0050</t>
  </si>
  <si>
    <t>0060</t>
  </si>
  <si>
    <t>0070</t>
  </si>
  <si>
    <t>0080</t>
  </si>
  <si>
    <t>Piemaksas, prēmijas un naudas balvas</t>
  </si>
  <si>
    <t>Piemaksa par darbu īpašos apstākļos, speciālās piemaksas</t>
  </si>
  <si>
    <t>Prēmijas un naudas balvas</t>
  </si>
  <si>
    <t>Mācību, darba un dienesta komandējumi, darba braucieni</t>
  </si>
  <si>
    <t>Izdevumi par atkritumu savākšanu, izvešanu no apdzīvotām vietām un teritorijām ārpus apdzīvotām vietām un atkritumu utilizāciju</t>
  </si>
  <si>
    <t>Remontdarbi un iestāžu uzturēšanas pakalpojumi (izņemot kapitālo remontu)</t>
  </si>
  <si>
    <t xml:space="preserve">Nekustamā īpašuma uzturēšana </t>
  </si>
  <si>
    <t>Iekārtu, aparatūras un inventāra īre un noma</t>
  </si>
  <si>
    <t>Izdevumi juridiskās palīdzības sniedzējiem un zvērinātiem tiesu izpildītājiem</t>
  </si>
  <si>
    <t>Pārējie valsts un pašvaldību aprūpē un apgādē esošo personu uzturēšanas izdevumi, kuri nav minēti citos koda 2360 apakškodos</t>
  </si>
  <si>
    <t>Valsts sociālās apdrošināšanas  obligātās iemaksas (no maksātnespējīga darba devēja darbinieku prasījumu summām)</t>
  </si>
  <si>
    <t>Procentu maksājumi iekšzemes finanšu institūcijām par aizņēmumiem un vērtspapīriem</t>
  </si>
  <si>
    <t>Līzinga procentu maksājumi</t>
  </si>
  <si>
    <t>Procentu maksājumi par aizņēmumiem no pašvaldību budžeta</t>
  </si>
  <si>
    <t>0100</t>
  </si>
  <si>
    <t>0110</t>
  </si>
  <si>
    <t>0120</t>
  </si>
  <si>
    <t>0130</t>
  </si>
  <si>
    <t>0140</t>
  </si>
  <si>
    <t>0150</t>
  </si>
  <si>
    <t>0170</t>
  </si>
  <si>
    <t>0180</t>
  </si>
  <si>
    <t>0190</t>
  </si>
  <si>
    <t>Zaudējumi no valūtas kursa svārstībām</t>
  </si>
  <si>
    <t>Izdevumi debitoru parādu norakstīšanai un uzkrājumu veidošanai</t>
  </si>
  <si>
    <t>Pārējie iepriekš neuzskaitītie budžeta izdevumi, kas veidojas pēc uzkrāšanas principa un nav uzskaitīti citos koda 8000 apakškodos</t>
  </si>
  <si>
    <t>H</t>
  </si>
  <si>
    <t>I</t>
  </si>
  <si>
    <t>Naudas līdzekļu atlikums perioda sākumā</t>
  </si>
  <si>
    <t>Pamatdarbības naudas plūsma</t>
  </si>
  <si>
    <t>Saimnieciskās darbības ieņēmumi</t>
  </si>
  <si>
    <t>Valsts līdzekļi pamatdarbībai kopā</t>
  </si>
  <si>
    <t>Uzņēmuma nopelnītie līdzekļi</t>
  </si>
  <si>
    <t>Saimnieciskās darbības izdevumi</t>
  </si>
  <si>
    <t>Sniegto pakalpojumu izdevumi</t>
  </si>
  <si>
    <t>Pārējie uzņēmuma saimnieciskās darbības izdevumi</t>
  </si>
  <si>
    <t>Pamatdarbības neto naudas plūsma (11 000-12 000)</t>
  </si>
  <si>
    <t>J</t>
  </si>
  <si>
    <t>Ieguldījumu darbības naudas plūsma</t>
  </si>
  <si>
    <t>Ieņēmumi no pamatlīdzekļu un nemateriālo ieguldījumu pārdošanas</t>
  </si>
  <si>
    <t>Izsniegtie aizdevumi</t>
  </si>
  <si>
    <t>Ieņēmumi no aizdevumu atmaksas</t>
  </si>
  <si>
    <t>K</t>
  </si>
  <si>
    <t>Finansēšanas darbības naudas plūsma</t>
  </si>
  <si>
    <t>Saņemtās subsīdijas, dotācijas, dāvinājumi vai ziedojumi</t>
  </si>
  <si>
    <t>Ieņēmumi no akciju un obligāciju emisijas vai kapitāla līdzdalības daļu ieguldījumiem</t>
  </si>
  <si>
    <t>Izdevumi nomāta pamatlīdzekļa izpirkumam</t>
  </si>
  <si>
    <t>Izmaksātās dividendes</t>
  </si>
  <si>
    <t>Ārvalstu valūtu kursu svārstību rezultāts</t>
  </si>
  <si>
    <t>Klientu uzdevumā veiktā naudas saņemšana un izmaksāšana</t>
  </si>
  <si>
    <t>Naudas līdzekļu atlikums perioda beigās</t>
  </si>
  <si>
    <t>Valsts galvotais aizdevums</t>
  </si>
  <si>
    <t>ES fondu projektu līdzfinansējums</t>
  </si>
  <si>
    <t>Citu ārvalstu projektu līdzfinansējums</t>
  </si>
  <si>
    <t>Pašu līdzekļi</t>
  </si>
  <si>
    <t>Budžeta līdzekļi</t>
  </si>
  <si>
    <t>Pacientu personīgie līdzekļi</t>
  </si>
  <si>
    <t>Citi finanšu līdzekļi</t>
  </si>
  <si>
    <t>Elektroenerģijas patērinš (kWh)</t>
  </si>
  <si>
    <t>27500</t>
  </si>
  <si>
    <t>27400</t>
  </si>
  <si>
    <t>X</t>
  </si>
  <si>
    <t>27100</t>
  </si>
  <si>
    <t>27000</t>
  </si>
  <si>
    <t>26450</t>
  </si>
  <si>
    <t>26440</t>
  </si>
  <si>
    <t>26430</t>
  </si>
  <si>
    <t>26420</t>
  </si>
  <si>
    <t>26410</t>
  </si>
  <si>
    <t>26400</t>
  </si>
  <si>
    <t>26350</t>
  </si>
  <si>
    <t>26340</t>
  </si>
  <si>
    <t>26330</t>
  </si>
  <si>
    <t>26320</t>
  </si>
  <si>
    <t>26310</t>
  </si>
  <si>
    <t>Vidējais darbinieku skaits (cilv.)</t>
  </si>
  <si>
    <t>26300</t>
  </si>
  <si>
    <t>26250</t>
  </si>
  <si>
    <t>26240</t>
  </si>
  <si>
    <t>26230</t>
  </si>
  <si>
    <t>26220</t>
  </si>
  <si>
    <t>26210</t>
  </si>
  <si>
    <t xml:space="preserve">Vidējie ienākumi uz vienu štata vienību likmi </t>
  </si>
  <si>
    <t>26200</t>
  </si>
  <si>
    <t>26150</t>
  </si>
  <si>
    <t>26140</t>
  </si>
  <si>
    <t>26130</t>
  </si>
  <si>
    <t>26120</t>
  </si>
  <si>
    <t>26110</t>
  </si>
  <si>
    <t xml:space="preserve">Štata vienību / likmju vidējais skaits </t>
  </si>
  <si>
    <t>26100</t>
  </si>
  <si>
    <t>26000</t>
  </si>
  <si>
    <t>25500</t>
  </si>
  <si>
    <t xml:space="preserve">Klientu skaits </t>
  </si>
  <si>
    <t>25400</t>
  </si>
  <si>
    <t>25300</t>
  </si>
  <si>
    <t>25200</t>
  </si>
  <si>
    <t>Klientu dienu skaits</t>
  </si>
  <si>
    <t>25100</t>
  </si>
  <si>
    <t>25000</t>
  </si>
  <si>
    <t>24500</t>
  </si>
  <si>
    <t>24400</t>
  </si>
  <si>
    <t>24300</t>
  </si>
  <si>
    <t>24200</t>
  </si>
  <si>
    <t>24100</t>
  </si>
  <si>
    <t>24000</t>
  </si>
  <si>
    <t>23320</t>
  </si>
  <si>
    <t>t.sk. dienas stacionārā</t>
  </si>
  <si>
    <t>23300</t>
  </si>
  <si>
    <t>23290</t>
  </si>
  <si>
    <t>23280</t>
  </si>
  <si>
    <t>23270</t>
  </si>
  <si>
    <t>23262</t>
  </si>
  <si>
    <t>23261</t>
  </si>
  <si>
    <t>23251</t>
  </si>
  <si>
    <t>23250</t>
  </si>
  <si>
    <t>Vidējais gultu skaits stacionārā</t>
  </si>
  <si>
    <t>23210</t>
  </si>
  <si>
    <t>23200</t>
  </si>
  <si>
    <t>231132</t>
  </si>
  <si>
    <t>231131</t>
  </si>
  <si>
    <t>23113</t>
  </si>
  <si>
    <t>23112</t>
  </si>
  <si>
    <t>23111</t>
  </si>
  <si>
    <t>23110</t>
  </si>
  <si>
    <t>23100</t>
  </si>
  <si>
    <t>23000</t>
  </si>
  <si>
    <t>Naturālie rādītāji</t>
  </si>
  <si>
    <t>23231</t>
  </si>
  <si>
    <t>23232</t>
  </si>
  <si>
    <t>VADC asins komponenti</t>
  </si>
  <si>
    <t>Medicīnas preces</t>
  </si>
  <si>
    <t>Implanti</t>
  </si>
  <si>
    <t>Medicīnas instrumenti</t>
  </si>
  <si>
    <t>Asins iegāde (izdevumi atlīdzībai donoriem)</t>
  </si>
  <si>
    <t>00311</t>
  </si>
  <si>
    <t>00312</t>
  </si>
  <si>
    <t>Kapitālais remonts un rekonstrukcija</t>
  </si>
  <si>
    <t>Kopā intelektuālie īpašumi</t>
  </si>
  <si>
    <t>Kopā nekustamie īpašumi</t>
  </si>
  <si>
    <t>Kopā kustamie īpašumi</t>
  </si>
  <si>
    <t>Kopā ieguldījumi</t>
  </si>
  <si>
    <t>Medicīnas un laboratoijas iekārtas t.sk.:</t>
  </si>
  <si>
    <t>Pārējās tehnoloģiskās iekārtas un mašīnas t.sk.:</t>
  </si>
  <si>
    <t>Pārējās licences, koncesijas un patenti, preču zīmes un tamlīdzīgas tiesības t.sk.:</t>
  </si>
  <si>
    <t>Saņemtās pacientu iemaksas (ambulatorai palīdzībai)</t>
  </si>
  <si>
    <t>pacientu iemaksas par atbrīvotajām kategorijām (ambulatorai palīdzībai)</t>
  </si>
  <si>
    <t>Atalgojums (1100)</t>
  </si>
  <si>
    <t>Darba devēja valsts sociālās apdrošināšanas obligātās iemaksas, sociāla rakstura pabalsti un kompensācijas (1200)</t>
  </si>
  <si>
    <t>Mācību, darba un dienesta komandējumi, darba braucieni (2100)</t>
  </si>
  <si>
    <t>Pakalpojumi (2200)</t>
  </si>
  <si>
    <t>Krājumi, materiāli, energoresursi, preces, biroja preces un inventārs, kurus neuzskaita kodā 5000 (2300; bez 2340)</t>
  </si>
  <si>
    <t>Zāles, ķimikālijas, laboratorijas preces, medicīniskās ierīces, medicīniskie instrumenti, laboratorijas dzīvnieki un to uzturēšana (2340)</t>
  </si>
  <si>
    <t>Procentu izdevumi (4000)</t>
  </si>
  <si>
    <t>Pārējie izdevumi (2400;2500; 2800)</t>
  </si>
  <si>
    <t>L</t>
  </si>
  <si>
    <t>Radniecīgo sabiedrību, asociēto sabiedrību vai citu sabiedrību akciju vai daļu iegāde</t>
  </si>
  <si>
    <t>Ieņēmumi no radniecīgo sabiedrību, asociēto sabiedrību vai citu sabiedrību akciju vai daļu atsavināšanas</t>
  </si>
  <si>
    <t>Kustamais īpašums</t>
  </si>
  <si>
    <t>Nekustamais īpašums</t>
  </si>
  <si>
    <t>Intelektuālais īpašums</t>
  </si>
  <si>
    <t>Ieguldīšanas darbības ieņēmumi</t>
  </si>
  <si>
    <t>Saņemtie procenti</t>
  </si>
  <si>
    <t>Saņemtās dividendes</t>
  </si>
  <si>
    <t>Ieguldīšanas darbības izdevumi</t>
  </si>
  <si>
    <t>Saņemtie aizņēmumi</t>
  </si>
  <si>
    <t>Finansēšanas darbības ieņēmumi</t>
  </si>
  <si>
    <t>Finansēšanas darbības izdevumi</t>
  </si>
  <si>
    <t>Izdevumi aizņēmumu atmaksāšanai</t>
  </si>
  <si>
    <t>Finansēšanas darbības naudas neto plūsma (17 000-18 000)</t>
  </si>
  <si>
    <t>Ieguldīšanas darbības neto naudas plūsma  (14000-15 000)</t>
  </si>
  <si>
    <t>Mēneša amatalga valdei</t>
  </si>
  <si>
    <t>Mēneša amatalga pārējiem darbiniekiem</t>
  </si>
  <si>
    <t>Zāles (medikamenti)</t>
  </si>
  <si>
    <t>Medikamenti noteikto funkciju nodrošināšanai</t>
  </si>
  <si>
    <t>Bezmaksas saņemto medikamentu un medicīnas preču, kas novērtētas naudas izteiksmē izlietojums</t>
  </si>
  <si>
    <t>Darba devēja pabalsti un kompensācijas, no kā neaprēķina iedzīvotāju ienākuma nodokli un valsts sociālās apdrošināšanas obligātās iemaksas</t>
  </si>
  <si>
    <t>Citi ieņēmumi (Ieņēmumi no bez atlīdzības saņemtajām precēm, investīcijām u.tml.)</t>
  </si>
  <si>
    <t>Izdarīto operāciju skaits diennakts stacionārā</t>
  </si>
  <si>
    <t>Ārstēšanas vidējais ilgums diennakts stacionārā (dienas)</t>
  </si>
  <si>
    <t>23321</t>
  </si>
  <si>
    <t>233211</t>
  </si>
  <si>
    <t>23322</t>
  </si>
  <si>
    <t>233221</t>
  </si>
  <si>
    <t>23350</t>
  </si>
  <si>
    <t>23330</t>
  </si>
  <si>
    <t>23340</t>
  </si>
  <si>
    <t>II  IZDEVUMI SAIMNIECISKĀS DARBĪBAS NODROŠINĀŠANAI KOPĀ</t>
  </si>
  <si>
    <t>Sterilizācijas un dezinfekcijas līdzekļi</t>
  </si>
  <si>
    <t>Laboratorijas preces</t>
  </si>
  <si>
    <t>Vidējais gultu skaits dienas stacionārā</t>
  </si>
  <si>
    <t>232501</t>
  </si>
  <si>
    <t>232511</t>
  </si>
  <si>
    <t>23230</t>
  </si>
  <si>
    <t>PEĻŅA PIRMS AMORTIZĀCIJAS UN PĀRĒJIEM IEŅĒMUMIEM</t>
  </si>
  <si>
    <t>PEĻŅA PIRMS PĀRĒJIEM IEŅĒMUMIEM, IZDEVUMIEM UN ĀRKĀRTAS IEŅĒMUMIEM</t>
  </si>
  <si>
    <t>Ieņēmumi no pārdotiem materiāliem un pamatlīdzekļiem</t>
  </si>
  <si>
    <t>Procentu maksājumi ārvalstu un starptautiskajām finanšu institūcijām par aizņēmumiem un vērtspapīriem</t>
  </si>
  <si>
    <t>Uzkrājums atvaļinājumu rezervēm,piem., uzņēmuma vadītājiem par pārskata gadu</t>
  </si>
  <si>
    <t>Ieņēmumos ieskaitītās dotācijas, dāvinājumi atbilstoši dāvināto pamatlīdzekļu nolietojumam par pārskata periodu</t>
  </si>
  <si>
    <t>Asins iegāde</t>
  </si>
  <si>
    <t>23351</t>
  </si>
  <si>
    <t>Medicīnas preces un instrumenti, laboratorijas dzīvnieki un to uzturēšana</t>
  </si>
  <si>
    <t>Izdarīto operāciju skaits dienas stacionārā</t>
  </si>
  <si>
    <t>Palīgtelpas (garāžas, šķūņi, katlumājas utt.)</t>
  </si>
  <si>
    <t>Bilances posteņi</t>
  </si>
  <si>
    <t>Pašu kapitāls</t>
  </si>
  <si>
    <t>Pamatkapitāls</t>
  </si>
  <si>
    <t>Pārējās rezerves</t>
  </si>
  <si>
    <t>Nesadalītā peļņa:</t>
  </si>
  <si>
    <t>Iepriekšējo gadu nesadalītā peļņa</t>
  </si>
  <si>
    <t>Pārskata gada nesadalītā peļņa</t>
  </si>
  <si>
    <t>Uzkrājumi</t>
  </si>
  <si>
    <t>Kreditori</t>
  </si>
  <si>
    <t>Ilgtermiņa kreditori</t>
  </si>
  <si>
    <t>Aizņēmumi no kredītiestādēm</t>
  </si>
  <si>
    <t>Atliktā uzņēmuma ienākuma nodokļa saistības</t>
  </si>
  <si>
    <t>Citi aizņēmumi</t>
  </si>
  <si>
    <t>Nākamo periodu ieņēmumi</t>
  </si>
  <si>
    <t>Citi kreditori</t>
  </si>
  <si>
    <t>Īstermiņa kreditori</t>
  </si>
  <si>
    <t>No pircējiem saņemtie avansi</t>
  </si>
  <si>
    <t>Parādi piegādātājiem un darbuzņēmējiem</t>
  </si>
  <si>
    <t>Nodokļi un sociālās nodroš.maksājumi</t>
  </si>
  <si>
    <t>Pārējie kreditori</t>
  </si>
  <si>
    <t>Uzkrātās saistības</t>
  </si>
  <si>
    <t>PASĪVU KOPSUMMA (45 000+46 000+47 000+48 000)</t>
  </si>
  <si>
    <t>Ilgtermiņa ieguldījumi</t>
  </si>
  <si>
    <t>Nemateriālie ieguldījumi</t>
  </si>
  <si>
    <t>Koncesijas,patenti,licences</t>
  </si>
  <si>
    <t>Avansa maksājumi par nemater.ieguldījumiem</t>
  </si>
  <si>
    <t>Pamatlīdzekļi</t>
  </si>
  <si>
    <t>Zemes gabali,ēkas un būves un ilggadīgie stādījumi</t>
  </si>
  <si>
    <t>Iekārtas un mašīnas</t>
  </si>
  <si>
    <t>Pārējie pamatlīdzekļi un inventārs</t>
  </si>
  <si>
    <t>Pamatl.izveidošana un nepab.celtniecība</t>
  </si>
  <si>
    <t>Avansa maksājumi par pamatlīdzekļiem</t>
  </si>
  <si>
    <t>Ieguldījumi nomātos pamatlīdzekļos</t>
  </si>
  <si>
    <t>Ilgtermiņa finanšu ieguldījumi</t>
  </si>
  <si>
    <t>Līdzdalība radniecīgo uzņēmumu kapitālā</t>
  </si>
  <si>
    <t>Pārējie vērtspapīri un ieguldījumi fondos</t>
  </si>
  <si>
    <t>Apgrozāmie līdzekļi</t>
  </si>
  <si>
    <t>Krājumi</t>
  </si>
  <si>
    <t>Izejvielas, pamatmateriāli un palīgmateriāli</t>
  </si>
  <si>
    <t>Gatavie ražojumi un preces pārdošanai</t>
  </si>
  <si>
    <t>Avansa maksājumi par precēm</t>
  </si>
  <si>
    <t>Debitori</t>
  </si>
  <si>
    <t>Pircēju,pasūtītāju parādi</t>
  </si>
  <si>
    <t>Radniecīgo uzņēmumu parādi</t>
  </si>
  <si>
    <t>Citi debitori</t>
  </si>
  <si>
    <t>Nākamo periodu izmaksas</t>
  </si>
  <si>
    <t>Uzkrātie ieņēmumi</t>
  </si>
  <si>
    <t>Nauda</t>
  </si>
  <si>
    <t>AKTĪVU KOPSUMMA (50 000+51 000)</t>
  </si>
  <si>
    <t>Kredītsaistības  (21 000+22 000)</t>
  </si>
  <si>
    <t xml:space="preserve">Ilgtermiņa kredītsaistības kopā </t>
  </si>
  <si>
    <t xml:space="preserve">Īstermiņa kredītsaistības kopā </t>
  </si>
  <si>
    <t>00150</t>
  </si>
  <si>
    <t>Finansējums Tehnisko palīglīdzekļu centra funkciju nodrošināšanai</t>
  </si>
  <si>
    <t>00212</t>
  </si>
  <si>
    <t>Veselības aprūpes pakalpojumiem</t>
  </si>
  <si>
    <t>Sociāliem pakalpojumiem</t>
  </si>
  <si>
    <t>Ieņēmumi par valsts finansēto zinātnisko darbību (TOP; GRANTI)</t>
  </si>
  <si>
    <t>Pārējie komandējumu un darba braucienu izdevumi</t>
  </si>
  <si>
    <t>Izdevumi par sakaru pakalpojumiem</t>
  </si>
  <si>
    <t>Izdevumi par siltumenerģiju</t>
  </si>
  <si>
    <t>Izdevumi par ūdensapgādi un kanalizāciju</t>
  </si>
  <si>
    <t>Dažādi pakalpojumi</t>
  </si>
  <si>
    <t>Izdevumi iestādes sabiedrisko aktivitāšu īstenošanai</t>
  </si>
  <si>
    <t>Izdevumi par profesionālās darbības pakalpojumiem</t>
  </si>
  <si>
    <t>Izdevumi par saņemtajiem mācību pakalpojumiem</t>
  </si>
  <si>
    <t>Maksājumu pakalpojumi un komisijas</t>
  </si>
  <si>
    <t>Pārējie neklasificētie pakalpojumi</t>
  </si>
  <si>
    <t>Ēku, būvju un telpu būvdarbi</t>
  </si>
  <si>
    <t>Pārējie pakalpojumi</t>
  </si>
  <si>
    <t>Ar brīvprātīgā darba veikšanu saistītie izdevumi</t>
  </si>
  <si>
    <t>Izdevumi par dažādām precēm un inventāru</t>
  </si>
  <si>
    <t>Darba aizsardzības līdzekļi</t>
  </si>
  <si>
    <t>Izdevumi par precēm iestādes sabiedrisko aktivitāšu īstenošanai</t>
  </si>
  <si>
    <t>Iestāžu uzturēšanas materiāli un preces</t>
  </si>
  <si>
    <t>Valsts un pašvaldību aprūpē, apgādē un dienestā (amatā) esošo personu uzturēšana</t>
  </si>
  <si>
    <t>Formas tērpi un speciālais apģērbs</t>
  </si>
  <si>
    <t>Nodokļu, nodevu un sankciju maksājumi</t>
  </si>
  <si>
    <t>Nodokļu un nodevu maksājumi</t>
  </si>
  <si>
    <t>Nekustamā īpašuma nodokļa maksājumi</t>
  </si>
  <si>
    <t>Maksājumi par budžeta iestādēm piemērotajām sankcijām</t>
  </si>
  <si>
    <t>Valsts budžeta (Valsts kases) procentu maksājumi</t>
  </si>
  <si>
    <t>Pārējie iepriekš neklasificētie procentu maksājumi</t>
  </si>
  <si>
    <t>Nemateriālo ieguldījumu nolietojums</t>
  </si>
  <si>
    <t>Rādītāja nosaukums</t>
  </si>
  <si>
    <t>Neto apgrozījums</t>
  </si>
  <si>
    <t>Pārdotās produkcijas ražošanas izmaksas</t>
  </si>
  <si>
    <t>Bruto peļņa vai zaudējumi (no apgrozījuma)</t>
  </si>
  <si>
    <t>Pārdošanas izmaksas</t>
  </si>
  <si>
    <t>Administrācijas izmaksas</t>
  </si>
  <si>
    <t xml:space="preserve">Pārējie saimnieciskās darbības ieņēmumi </t>
  </si>
  <si>
    <t>Pārējie saimnieciskās darbības izmaksas</t>
  </si>
  <si>
    <t>Ieņēmumi no līdzdalības meitas un asociēto sabiedrību kapitālos</t>
  </si>
  <si>
    <t>Ieņēmumi no vērtspapīriem un aizdevumiem, kas veidojuši ilgtermiņa aizdevumus</t>
  </si>
  <si>
    <t>Pārējie procentu ieņēmumi un tamlīdzīgi ieņēmumi</t>
  </si>
  <si>
    <t>Ilgtermiņa finanšu ieguldījumi un īstermiņa vērtspapīru vērtības norakstīšana</t>
  </si>
  <si>
    <t>Procentu maksājumi un tamlīdzīgas izmaksas</t>
  </si>
  <si>
    <t>Peļņa vai zaudējumi pirms ārkārtas posteņiem un nodokļiem</t>
  </si>
  <si>
    <t>Ārkārtas ieņēmumi</t>
  </si>
  <si>
    <t>Ārkārtas izmaksas</t>
  </si>
  <si>
    <t>Ārkārtas peļņa vai zaudējumi pirms nodokļiem</t>
  </si>
  <si>
    <t>Uzņēmuma ienākuma nodoklis par pārskata periodu</t>
  </si>
  <si>
    <t>Atliktā nodokļa ieņēmumi vai izmaksas</t>
  </si>
  <si>
    <t>Pārējie nodokļi</t>
  </si>
  <si>
    <t>Pārskata perioda peļņa vai zaudējumi pēc nodokļiem</t>
  </si>
  <si>
    <t>Nr.p.k.</t>
  </si>
  <si>
    <t>Naudas plūsmas pozīcijas</t>
  </si>
  <si>
    <t>Citi ieņēmumi (piem.reģistru uztur., retajiem medikam. utt.)</t>
  </si>
  <si>
    <t>VESELĪBAS APRŪPE</t>
  </si>
  <si>
    <t>Neatliekamās medicīniskās palīdzības sniegšana uzņemšanas nodaļā (t.sk. traumpunktā), izslēdzot dzemdības un plānveida hospitalizācijas</t>
  </si>
  <si>
    <t>Kopējais pacientu skaits periodā, kas vērsušies NMPUN, t.sk.</t>
  </si>
  <si>
    <t>Pacientu skaits periodā, kuri pēc observācijas novirzīti turpmākai ambulatorai ārstēšanai</t>
  </si>
  <si>
    <t>Pacientu skaits periodā, kuri pēc observācijas stacionēti</t>
  </si>
  <si>
    <t>23212</t>
  </si>
  <si>
    <t>Kopējais stacionēto pacientu skaits no NMPUN (23112+231132)</t>
  </si>
  <si>
    <t>23213</t>
  </si>
  <si>
    <t>23214</t>
  </si>
  <si>
    <t>23215</t>
  </si>
  <si>
    <t>Observācijas gadījumu īpatsvars no kopējā gadījumu skaita uzņemšanas nodaļā (23113/23110), %</t>
  </si>
  <si>
    <t>STACIONĀRĀ VESELĪBAS APRŪPE</t>
  </si>
  <si>
    <t>Kopējais gultu dienu skaits</t>
  </si>
  <si>
    <t>Stacionārā pacienta dienas vidējā realizācijas maksa, EUR</t>
  </si>
  <si>
    <t>Stacionārā pacienta dienas vidējā pašizmaksa, EUR</t>
  </si>
  <si>
    <t>23252</t>
  </si>
  <si>
    <t>232521</t>
  </si>
  <si>
    <t>AMBULATORĀ VESELĪBAS APRŪPE</t>
  </si>
  <si>
    <t>Ambulatoro apmeklējumu skaits, t.sk.</t>
  </si>
  <si>
    <t>Valsts apmaksātie ambulatorie pakalpojumi</t>
  </si>
  <si>
    <t>Maksas ambulatorie pakalpojumi</t>
  </si>
  <si>
    <t>SOCIĀLĀ REHABILITĀCIJA</t>
  </si>
  <si>
    <t>SOCIĀlĀ APRŪPE</t>
  </si>
  <si>
    <t>PERSONĀLA RĀDĪTĀJI</t>
  </si>
  <si>
    <t>26500</t>
  </si>
  <si>
    <t>Citi personāla rādītāji</t>
  </si>
  <si>
    <t>26510</t>
  </si>
  <si>
    <t>Darbinieku mainība,%</t>
  </si>
  <si>
    <t>26520</t>
  </si>
  <si>
    <t>Vidējais nostrādāto virsstundu skaits uz vienu ārtsniecības personu, kas attiecīgā periodā veic virsstundu darbu</t>
  </si>
  <si>
    <t>26530</t>
  </si>
  <si>
    <t>26540</t>
  </si>
  <si>
    <t>Strādājošo 25-40 gadus veco ārstniecības personu īpatsvars no kopējā ārstniecības personu skaita,%</t>
  </si>
  <si>
    <t>PĀRĒJIE RĀDĪTĀJI</t>
  </si>
  <si>
    <t>28000</t>
  </si>
  <si>
    <t>MEDIKAMENTI UN MEDICĪNAS PRECES</t>
  </si>
  <si>
    <t>28100</t>
  </si>
  <si>
    <t xml:space="preserve">projektu vadītājiem, departamentu direktoriem un to vietniekiem, tehniskajam direktoram, kā arī sekojošām struktūrvienībām: komunikācijas, personāla vadības, finanšu, </t>
  </si>
  <si>
    <r>
      <t xml:space="preserve">Klienta dienas vidējā realizācijas maksa, </t>
    </r>
    <r>
      <rPr>
        <i/>
        <sz val="14"/>
        <rFont val="Times New Roman"/>
        <family val="1"/>
      </rPr>
      <t>euro</t>
    </r>
  </si>
  <si>
    <r>
      <t xml:space="preserve">Klienta dienas vidējā pašizmaksa, </t>
    </r>
    <r>
      <rPr>
        <i/>
        <sz val="14"/>
        <rFont val="Times New Roman"/>
        <family val="1"/>
      </rPr>
      <t>euro</t>
    </r>
  </si>
  <si>
    <r>
      <t xml:space="preserve">Vidējais sociālās aprūpes ilgums, </t>
    </r>
    <r>
      <rPr>
        <i/>
        <sz val="14"/>
        <rFont val="Times New Roman"/>
        <family val="1"/>
      </rPr>
      <t xml:space="preserve">dienas </t>
    </r>
  </si>
  <si>
    <r>
      <t>Ārsti</t>
    </r>
    <r>
      <rPr>
        <vertAlign val="superscript"/>
        <sz val="14"/>
        <rFont val="Times New Roman"/>
        <family val="1"/>
      </rPr>
      <t>3</t>
    </r>
  </si>
  <si>
    <r>
      <t>Ārstniecības un pacientu aprūpes personāls</t>
    </r>
    <r>
      <rPr>
        <vertAlign val="superscript"/>
        <sz val="14"/>
        <rFont val="Times New Roman"/>
        <family val="1"/>
      </rPr>
      <t>4</t>
    </r>
  </si>
  <si>
    <r>
      <t>Ārstniecības un pacientu aprūpes atbalsta personāls</t>
    </r>
    <r>
      <rPr>
        <vertAlign val="superscript"/>
        <sz val="14"/>
        <rFont val="Times New Roman"/>
        <family val="1"/>
      </rPr>
      <t>5</t>
    </r>
  </si>
  <si>
    <r>
      <t>Administrācija</t>
    </r>
    <r>
      <rPr>
        <vertAlign val="superscript"/>
        <sz val="14"/>
        <rFont val="Times New Roman"/>
        <family val="1"/>
      </rPr>
      <t>6</t>
    </r>
  </si>
  <si>
    <r>
      <t>Pārējais personāls (t.sk. sanitāri)</t>
    </r>
    <r>
      <rPr>
        <vertAlign val="superscript"/>
        <sz val="14"/>
        <rFont val="Times New Roman"/>
        <family val="1"/>
      </rPr>
      <t>7</t>
    </r>
  </si>
  <si>
    <r>
      <t xml:space="preserve">Darbinieku </t>
    </r>
    <r>
      <rPr>
        <b/>
        <u/>
        <sz val="14"/>
        <rFont val="Times New Roman"/>
        <family val="1"/>
      </rPr>
      <t xml:space="preserve">vidējie </t>
    </r>
    <r>
      <rPr>
        <b/>
        <sz val="14"/>
        <rFont val="Times New Roman"/>
        <family val="1"/>
      </rPr>
      <t xml:space="preserve">ienākumi mēnesī: </t>
    </r>
  </si>
  <si>
    <r>
      <t>Kopējā slimnīcas telpu platība  (m</t>
    </r>
    <r>
      <rPr>
        <vertAlign val="superscript"/>
        <sz val="14"/>
        <rFont val="Times New Roman"/>
        <family val="1"/>
      </rPr>
      <t>2</t>
    </r>
    <r>
      <rPr>
        <sz val="14"/>
        <rFont val="Times New Roman"/>
        <family val="1"/>
      </rPr>
      <t>), t.sk.:</t>
    </r>
  </si>
  <si>
    <r>
      <t>Ūdens patēriņš  ( m</t>
    </r>
    <r>
      <rPr>
        <vertAlign val="superscript"/>
        <sz val="14"/>
        <rFont val="Times New Roman"/>
        <family val="1"/>
      </rPr>
      <t>3</t>
    </r>
    <r>
      <rPr>
        <sz val="14"/>
        <rFont val="Times New Roman"/>
        <family val="1"/>
      </rPr>
      <t>)</t>
    </r>
  </si>
  <si>
    <r>
      <t>Kanalizācija  (m</t>
    </r>
    <r>
      <rPr>
        <vertAlign val="superscript"/>
        <sz val="14"/>
        <rFont val="Times New Roman"/>
        <family val="1"/>
      </rPr>
      <t>3</t>
    </r>
    <r>
      <rPr>
        <sz val="14"/>
        <rFont val="Times New Roman"/>
        <family val="1"/>
      </rPr>
      <t>)</t>
    </r>
  </si>
  <si>
    <r>
      <t>Stacionāro pakalpojumu sniegšanai izmantotie medikamenti uz gultas dienu</t>
    </r>
    <r>
      <rPr>
        <vertAlign val="superscript"/>
        <sz val="14"/>
        <rFont val="Times New Roman"/>
        <family val="1"/>
      </rPr>
      <t>8</t>
    </r>
  </si>
  <si>
    <r>
      <rPr>
        <vertAlign val="superscript"/>
        <sz val="14"/>
        <rFont val="Times New Roman"/>
        <family val="1"/>
      </rPr>
      <t>1</t>
    </r>
    <r>
      <rPr>
        <sz val="14"/>
        <rFont val="Times New Roman"/>
        <family val="1"/>
      </rPr>
      <t>- ar jēdzienu "vidējais" saprotams rādītāja vērtība katra mēneša pēdējā datumā un summu dalot ar mēnešu skaitu pārskata periodā</t>
    </r>
  </si>
  <si>
    <r>
      <rPr>
        <vertAlign val="superscript"/>
        <sz val="14"/>
        <rFont val="Times New Roman"/>
        <family val="1"/>
      </rPr>
      <t>2</t>
    </r>
    <r>
      <rPr>
        <sz val="14"/>
        <rFont val="Times New Roman"/>
        <family val="1"/>
      </rPr>
      <t>- hospitalizāciju skaits, bez fiktīvās izrakstīšanās (kustība 39) attiecīgā perioda ietvaros</t>
    </r>
  </si>
  <si>
    <r>
      <rPr>
        <vertAlign val="superscript"/>
        <sz val="14"/>
        <rFont val="Times New Roman"/>
        <family val="1"/>
      </rPr>
      <t>3</t>
    </r>
    <r>
      <rPr>
        <sz val="14"/>
        <rFont val="Times New Roman"/>
        <family val="1"/>
      </rPr>
      <t>- sertificēti  ārsti, zobārsti un funkcionālie speciālisti, reģistrēti ārsti, zobārsti un funkcionālie speciālisti, rezidenti</t>
    </r>
  </si>
  <si>
    <r>
      <rPr>
        <vertAlign val="superscript"/>
        <sz val="14"/>
        <rFont val="Times New Roman"/>
        <family val="1"/>
      </rPr>
      <t>4</t>
    </r>
    <r>
      <rPr>
        <sz val="14"/>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</si>
  <si>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4"/>
        <rFont val="Times New Roman"/>
        <family val="1"/>
      </rPr>
      <t>5</t>
    </r>
    <r>
      <rPr>
        <sz val="14"/>
        <rFont val="Times New Roman"/>
        <family val="1"/>
      </rPr>
      <t>- māsu palīgi, zobārsta asistenti</t>
    </r>
  </si>
  <si>
    <r>
      <rPr>
        <vertAlign val="superscript"/>
        <sz val="14"/>
        <rFont val="Times New Roman"/>
        <family val="1"/>
      </rPr>
      <t>6</t>
    </r>
    <r>
      <rPr>
        <sz val="14"/>
        <rFont val="Times New Roman"/>
        <family val="1"/>
      </rPr>
      <t>- valde, padome, valdes/padomes birojs, ārstniecības personām, kuras tiešā veidā nav saistītas ar pacientu ārstēšanu -  klīniku vadītājiem, virsārstiem, profila virsārstiem, vecākajiem ārstiem, galvenajām māsām, ārstiem koordinatoriem u.c</t>
    </r>
  </si>
  <si>
    <r>
      <rPr>
        <vertAlign val="superscript"/>
        <sz val="14"/>
        <rFont val="Times New Roman"/>
        <family val="1"/>
      </rPr>
      <t>7</t>
    </r>
    <r>
      <rPr>
        <sz val="14"/>
        <rFont val="Times New Roman"/>
        <family val="1"/>
      </rPr>
      <t>- Saimnieciskais personāls, ārstniecības un aprūpes procesu atbalsta personāls (t.sk. sanitāri)</t>
    </r>
  </si>
  <si>
    <r>
      <rPr>
        <vertAlign val="superscript"/>
        <sz val="14"/>
        <rFont val="Times New Roman"/>
        <family val="1"/>
      </rPr>
      <t>8</t>
    </r>
    <r>
      <rPr>
        <sz val="14"/>
        <rFont val="Times New Roman"/>
        <family val="1"/>
      </rPr>
      <t>- Medikamenti, medicīnas preces, implanti, sterilizācijas materiāli, medicīnas instrumenti, laboratorijas preces stacionāro pakalpojumu nodrošināšanai (bez bezmaksas medikamnetiem un med. Precēm)/ Stacionāra gultu dienu skaits</t>
    </r>
  </si>
  <si>
    <t>Kopējais stacionēto pacientu īpatsvars  no kopējā gadījumu skaita uzņemšanas nodaļā, % (23212/23110)</t>
  </si>
  <si>
    <t>Vidējais gultu noslogojums diennakts stacionārā, %</t>
  </si>
  <si>
    <t>Vidējais gultu noslogojums dienas stacionārā, %</t>
  </si>
  <si>
    <t>no ESF (Eiropas Struktūrfondi) līdzekļiem (sadalījumā pa projektiem), t.sk.</t>
  </si>
  <si>
    <t>no VGA (Valsts galvotais aizdevums) līdzekļiem (sadalījumā pa projektiem), t.sk.</t>
  </si>
  <si>
    <t>no Valsts budžeta līdzekļiem (sadalījumā pa pasākumiem/projektiem), t.sk.</t>
  </si>
  <si>
    <t>no pašu līdzekļiem (sadalījumā pa pasākumiem/projektiem), t.sk.</t>
  </si>
  <si>
    <t>no citiem līdzekļiem (sadalījumā pa pasākumiem/projektiem), t.sk.</t>
  </si>
  <si>
    <t>no ESF (Eiropas Struktūrfondi) līdzekļiem  (sadalījumā pa projektiem), t.sk.</t>
  </si>
  <si>
    <t>1 Aizpildot naudas plūsmas plānu pamatlīdzekļiem un nemateriāliem ieguldījumiem līdzīgie pamatlīdzekļi  pēc nomenklatūras  jāapvieno grupās, norādot iepērkamo pamatlīdzekļu daudzumu</t>
  </si>
  <si>
    <t>Ārstniecības personu īpatsvars, kas veic virsstundu darbu, no kopējā ārtsniecības personu skaita, %</t>
  </si>
  <si>
    <r>
      <rPr>
        <vertAlign val="superscript"/>
        <sz val="14"/>
        <rFont val="Times New Roman"/>
        <family val="1"/>
      </rPr>
      <t xml:space="preserve">9 </t>
    </r>
    <r>
      <rPr>
        <sz val="14"/>
        <rFont val="Times New Roman"/>
        <family val="1"/>
      </rPr>
      <t>- 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</si>
  <si>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4"/>
        <rFont val="Times New Roman"/>
        <family val="1"/>
      </rPr>
      <t>10</t>
    </r>
    <r>
      <rPr>
        <sz val="11"/>
        <color theme="1"/>
        <rFont val="Calibri"/>
        <family val="2"/>
        <charset val="186"/>
        <scheme val="minor"/>
      </rPr>
      <t xml:space="preserve"> </t>
    </r>
    <r>
      <rPr>
        <sz val="14"/>
        <rFont val="Times New Roman"/>
        <family val="1"/>
      </rPr>
      <t>- rehospitalizāciju skaitā ieskaita pacientus, kas atkārtoti hospitalizēti tajā pašā vai nākamajā dienā, kuru nākamā hospitalizācija ir aprūpe vai rehabilitācija (atbilstoši NVD mājas lapā publicētā</t>
    </r>
  </si>
  <si>
    <t>"Pārskats par uz mājām izrakstītiem pacientiem, kas atkārtoti hospitalizēti tajā pašā vai nākamajā dienā" izslēgšanas kritērijos GPF kodam</t>
  </si>
  <si>
    <r>
      <rPr>
        <vertAlign val="superscript"/>
        <sz val="14"/>
        <rFont val="Times New Roman"/>
        <family val="1"/>
      </rPr>
      <t>11</t>
    </r>
    <r>
      <rPr>
        <sz val="14"/>
        <rFont val="Times New Roman"/>
        <family val="1"/>
      </rPr>
      <t>- atbilstoši NVD mājas lapā publocētajam "Valsts apmaksājamo manipulāciju un to apmaksas nosacījumu saraksts" Lielo ķirurģisko operāciju klasifikatoram (10.kolonna)</t>
    </r>
  </si>
  <si>
    <t>27200</t>
  </si>
  <si>
    <t>27110</t>
  </si>
  <si>
    <t>27300</t>
  </si>
  <si>
    <t>VEIDLAPAS AIZPILDĪŠANAS METODISKIE NORĀDĪJUMI</t>
  </si>
  <si>
    <t>N.p.k.</t>
  </si>
  <si>
    <t>t.sk. summa,
 kurai iestājies
 maks.termiņš</t>
  </si>
  <si>
    <t>Mazāk par 30 dienām kavētie maksājumi</t>
  </si>
  <si>
    <t>30 un vairāk dienas kavētie maksājumi</t>
  </si>
  <si>
    <t>Paskaidrojums</t>
  </si>
  <si>
    <t>1.</t>
  </si>
  <si>
    <t>1.2.</t>
  </si>
  <si>
    <t>1.2.1.</t>
  </si>
  <si>
    <t>…</t>
  </si>
  <si>
    <t>1.2.2.</t>
  </si>
  <si>
    <t>utt.</t>
  </si>
  <si>
    <t>1.3.</t>
  </si>
  <si>
    <t>1.3.1.</t>
  </si>
  <si>
    <t>1.3.2.</t>
  </si>
  <si>
    <t>1.4.</t>
  </si>
  <si>
    <t>1.4.1.</t>
  </si>
  <si>
    <t>1.4.2.</t>
  </si>
  <si>
    <t>1.5.</t>
  </si>
  <si>
    <t>1.5.1.</t>
  </si>
  <si>
    <t>1.5.2.</t>
  </si>
  <si>
    <t>1.6.</t>
  </si>
  <si>
    <t>1.6.1.</t>
  </si>
  <si>
    <t>1.6.2.</t>
  </si>
  <si>
    <t>2.</t>
  </si>
  <si>
    <t>2.1.</t>
  </si>
  <si>
    <t>2.1.1.</t>
  </si>
  <si>
    <t>2.1.2.</t>
  </si>
  <si>
    <t>2.2.</t>
  </si>
  <si>
    <t>2.2.1.</t>
  </si>
  <si>
    <t>2.2.2.</t>
  </si>
  <si>
    <t>2.3.</t>
  </si>
  <si>
    <t>2.3.1.</t>
  </si>
  <si>
    <t>2.3.2.</t>
  </si>
  <si>
    <t>2.4.</t>
  </si>
  <si>
    <t>2.4.1.</t>
  </si>
  <si>
    <t>2.5.</t>
  </si>
  <si>
    <t>2.5.1.</t>
  </si>
  <si>
    <t>2.5.2.</t>
  </si>
  <si>
    <t>2.6.</t>
  </si>
  <si>
    <t>2.6.1.</t>
  </si>
  <si>
    <t>2.6.2.</t>
  </si>
  <si>
    <t>2.7.</t>
  </si>
  <si>
    <t>2.7.1.</t>
  </si>
  <si>
    <t>2.7.2.</t>
  </si>
  <si>
    <t>2.8.</t>
  </si>
  <si>
    <t>2.8.1.</t>
  </si>
  <si>
    <t>2.8.2.</t>
  </si>
  <si>
    <t>Pārējie debitori</t>
  </si>
  <si>
    <t xml:space="preserve">Pozīcijas nosaukums   </t>
  </si>
  <si>
    <t>1.1.</t>
  </si>
  <si>
    <t>3.</t>
  </si>
  <si>
    <t>4.</t>
  </si>
  <si>
    <t>4.1.</t>
  </si>
  <si>
    <t>4.2.</t>
  </si>
  <si>
    <t>5.</t>
  </si>
  <si>
    <t>5.1.</t>
  </si>
  <si>
    <t>5.2.</t>
  </si>
  <si>
    <t>6.</t>
  </si>
  <si>
    <t xml:space="preserve">  Skaidrojumi par novirzēm ir jāsniedz  sekojošiem budžeta ieņēmumu un izdevumu kodiem: 00110, 00120, 00130, 00140, 00150, 0020, 0030, 0040, 0050, 0060, 0070, 0080, 1110, 1140, 1150, 1170, 1210, 1220, 2110, 2120, 2210, 2220, 2230, 2240, 2250, 2260, 2270, 2280, 2310, 2320, 2330, 2341, 2343, 2344, 2350, 2360, 2370, 2380, 2390, 2510, 2520, 2800, 4100, 4200, 4300, 5100, 5200, 0100, 8000.</t>
  </si>
  <si>
    <t xml:space="preserve">  Skaidrojumi par novirzēm ir jāsniedz  sekojošiem Bilances posteņu kodiem: 45100, 45200, 45320, 46000, 47100, 47200, 49100, 49200, 49300, 50100, 50200, 50300.</t>
  </si>
  <si>
    <r>
      <rPr>
        <vertAlign val="superscript"/>
        <sz val="14"/>
        <rFont val="Times New Roman"/>
        <family val="1"/>
      </rPr>
      <t xml:space="preserve">2 </t>
    </r>
    <r>
      <rPr>
        <sz val="14"/>
        <rFont val="Times New Roman"/>
        <family val="1"/>
      </rPr>
      <t>Detalizēti skaidrojumi par faktisko Bilances posteņu noviržu iemesliem periodā no n gada sākuma līdz pārskata ceturkšņa beigām, kā arī par to izmaiņām, salīdzinot ar n-1 gada attiecīgo periodu, gadījumos, ja novirze faktisko Bilances posteņos ir virs 5%.</t>
    </r>
  </si>
  <si>
    <r>
      <t>Skaidrojumi</t>
    </r>
    <r>
      <rPr>
        <vertAlign val="superscript"/>
        <sz val="14"/>
        <rFont val="Times New Roman"/>
        <family val="1"/>
      </rPr>
      <t>12</t>
    </r>
  </si>
  <si>
    <r>
      <rPr>
        <vertAlign val="superscript"/>
        <sz val="14"/>
        <rFont val="Times New Roman"/>
        <family val="1"/>
      </rPr>
      <t xml:space="preserve">12 </t>
    </r>
    <r>
      <rPr>
        <sz val="14"/>
        <rFont val="Times New Roman"/>
        <family val="1"/>
      </rPr>
      <t xml:space="preserve">Detalizēti skaidrojumi par Naturālo rādītāju noviržu iemesliem periodā no </t>
    </r>
    <r>
      <rPr>
        <i/>
        <sz val="14"/>
        <rFont val="Times New Roman"/>
        <family val="1"/>
      </rPr>
      <t>n</t>
    </r>
    <r>
      <rPr>
        <sz val="14"/>
        <rFont val="Times New Roman"/>
        <family val="1"/>
      </rPr>
      <t xml:space="preserve"> gada sākuma līdz pārskata ceturkšņa beigām, kā arī par to izmaiņām, salīdzinot ar </t>
    </r>
    <r>
      <rPr>
        <i/>
        <sz val="14"/>
        <rFont val="Times New Roman"/>
        <family val="1"/>
      </rPr>
      <t>n-1</t>
    </r>
    <r>
      <rPr>
        <sz val="14"/>
        <rFont val="Times New Roman"/>
        <family val="1"/>
      </rPr>
      <t xml:space="preserve"> gada attiecīgo periodu, gadījumos, ja novirze Naturālajos rādītājos ir virs 10%.</t>
    </r>
  </si>
  <si>
    <t>Instrumentu piegāde spinālajām operācijām</t>
  </si>
  <si>
    <t>No Veselības norēķinu centra saņemtā investīciju nauda</t>
  </si>
  <si>
    <t xml:space="preserve">No ERAF saņemtā investīcija  (3DP/3.1.5.3.1/11/IPIA/VEC/013) </t>
  </si>
  <si>
    <t xml:space="preserve">No ERAF saņemtā investīcija  (3DP/3.1.5.3.1/10/IPIA/VEC/017) </t>
  </si>
  <si>
    <r>
      <t>No ERAF saņemtā investīcija  (9.3.2.0/17/I/002)</t>
    </r>
    <r>
      <rPr>
        <vertAlign val="superscript"/>
        <sz val="10"/>
        <rFont val="Times New Roman"/>
        <family val="1"/>
      </rPr>
      <t xml:space="preserve"> </t>
    </r>
  </si>
  <si>
    <t xml:space="preserve">No NVD projekta līguma Nr. 1936 </t>
  </si>
  <si>
    <t xml:space="preserve">No NVD projekta līguma Nr. 2550 </t>
  </si>
  <si>
    <t xml:space="preserve">No NVD projekta līguma Nr. 1874 </t>
  </si>
  <si>
    <r>
      <t>No pircējiem saņemtie avansi</t>
    </r>
    <r>
      <rPr>
        <i/>
        <sz val="10"/>
        <rFont val="Times New Roman"/>
        <family val="1"/>
      </rPr>
      <t xml:space="preserve"> (jānorāda 5 lielākos kreditorus, visus kavētos maksājumus un pārējo kreditoru kopsummu un kreditoru skaitu)</t>
    </r>
  </si>
  <si>
    <r>
      <t xml:space="preserve">Parādi piegādātājiem un darbuzņēmējiem </t>
    </r>
    <r>
      <rPr>
        <i/>
        <sz val="10"/>
        <rFont val="Times New Roman"/>
        <family val="1"/>
      </rPr>
      <t>(jānorāda 5 lielākos kreditorus, visus kavētos maksājumus un pārējo kreditoru kopsummu un kreditoru skaitu)</t>
    </r>
  </si>
  <si>
    <t>Johonson AB Latvijas filiāle SIA</t>
  </si>
  <si>
    <t>Sociālās nodrošināšanas iemaksas</t>
  </si>
  <si>
    <t>Iedzīvotāju ienākuma nodoklis</t>
  </si>
  <si>
    <t>Pievienotās vērtības nodoklis</t>
  </si>
  <si>
    <t>Nekustamā īpašuma nodoklis</t>
  </si>
  <si>
    <t>Dabas resursu nodoklis</t>
  </si>
  <si>
    <t>Uzņēmējdarbības riska nodeva</t>
  </si>
  <si>
    <r>
      <t xml:space="preserve">Pārējie kreditori </t>
    </r>
    <r>
      <rPr>
        <i/>
        <sz val="10"/>
        <rFont val="Times New Roman"/>
        <family val="1"/>
      </rPr>
      <t>(jānorāda 5 lielākos kreditorus, visus kavētos maksājumus un pārējo kreditoru kopsummu un kreditoru skaitu)</t>
    </r>
  </si>
  <si>
    <t>Neizmaksātās darba algas</t>
  </si>
  <si>
    <t xml:space="preserve">Pārējie kreditori   - 4 gb                                                  </t>
  </si>
  <si>
    <t xml:space="preserve">Darbinieku neizmantotie atvaļinājumi par pārskata gadu </t>
  </si>
  <si>
    <t>Nacionālais veselības dienests</t>
  </si>
  <si>
    <t>Latvijas Universitāte</t>
  </si>
  <si>
    <t>Rīgas Stradiņa universitāte</t>
  </si>
  <si>
    <t>DPA SIA</t>
  </si>
  <si>
    <t xml:space="preserve"> </t>
  </si>
  <si>
    <t>LAGRON SIA</t>
  </si>
  <si>
    <t>Pircēju,pasūtītāju parādi (jānorāda 5 lielākos debitorus, visus kavētos maksājumus, pacientu parādu kopsummu un pārējo debitoru kopsummu un debitoru skaitu)</t>
  </si>
  <si>
    <t>3.1.</t>
  </si>
  <si>
    <t>Drošības naudas un maiņas naudas kasēs</t>
  </si>
  <si>
    <t>3.2.</t>
  </si>
  <si>
    <t>Nākamo periodu izmaksas (jānorāda 5 lielākos debitorus un pārējo debitoru kopsummu un debitoru skaitu)</t>
  </si>
  <si>
    <t>Uzkrātie ieņēmumi (jānorāda 5 lielākos debitorus un pārējo debitoru kopsummu un debitoru skaitu)</t>
  </si>
  <si>
    <t>Pacientu skaits periodā, kuriem sniegta neatliekamā medicīniskā palīdzība un tie novirzīti turpmākai ambulatorai ārstēšanai</t>
  </si>
  <si>
    <t>Pacientu skaits periodā, kuri stacionēti (bez observācijas)</t>
  </si>
  <si>
    <t>Pacientu skaits periodā, kuriem nodrošināts observācijas pakalpojums, t.sk.</t>
  </si>
  <si>
    <t>Vidējais1 observācijas gultu skaits</t>
  </si>
  <si>
    <t>Kopējais hospitalizācijas2 gadījumu skaits, t.sk.</t>
  </si>
  <si>
    <t>Valsts apmaksāto hospitalizācijas2 gadījumu skaits</t>
  </si>
  <si>
    <t>Plānveida hospitalizācijas2 gadījumu skaits, t.sk.:</t>
  </si>
  <si>
    <t>Valsts apmaksāto plānveida hospitalizācijas2 gadījumu skaits</t>
  </si>
  <si>
    <t>Neatliekamo hospitalizāciju2 gadījumu skaits, t.sk.:</t>
  </si>
  <si>
    <t>Valsts apmaksāto neatliekamo hospitalizācijas2 gadījumu skaits</t>
  </si>
  <si>
    <t>Atkārtoti hospitalizēto pacientu skaits, neieskaitot pacientus, kuriem nākamā hospitalizācija ir aprūpe vai rehabilitācija9</t>
  </si>
  <si>
    <t>Atkārtoti hospitalizēto pacientu skaits, kuriem nākamā hospitalizācija ir aprūpe,  rehabilitācija vai nākamais ārstēšanas posms10</t>
  </si>
  <si>
    <t>Ambultatori izdarīto operāciju skaits11, t.sk.:</t>
  </si>
  <si>
    <t>Stacionārie medicīniskie pakalpojumi</t>
  </si>
  <si>
    <t>Nomas pakalpojumim un rezidentu apmācība</t>
  </si>
  <si>
    <t>Licenču noma</t>
  </si>
  <si>
    <t>Opticom SIA</t>
  </si>
  <si>
    <t>Programmatūras uzturēšana un apkalpošana</t>
  </si>
  <si>
    <r>
      <t>Budžeta pozīcijas</t>
    </r>
    <r>
      <rPr>
        <vertAlign val="superscript"/>
        <sz val="12"/>
        <rFont val="Times New Roman"/>
        <family val="1"/>
      </rPr>
      <t>1</t>
    </r>
  </si>
  <si>
    <r>
      <rPr>
        <vertAlign val="superscript"/>
        <sz val="12"/>
        <rFont val="Times New Roman"/>
        <family val="1"/>
      </rPr>
      <t>1</t>
    </r>
    <r>
      <rPr>
        <sz val="12"/>
        <rFont val="Times New Roman"/>
        <family val="1"/>
      </rPr>
      <t xml:space="preserve"> Budžeta kodu klasifikācija sadaļā II " IZDEVUMI SAIMNIECISKĀS DARBĪBAS NODROŠINĀŠANAI KOPĀ" atbilst Ministru Kabineta noteikumiem 1031 Noteikumi par budžetu izdevumu klasifikāciju atbilstoši ekonomiskajām kategorijām" un jāpiemēro šo MK noteikumu skaidrojumi atbilstošiem EKK</t>
    </r>
  </si>
  <si>
    <r>
      <rPr>
        <vertAlign val="superscript"/>
        <sz val="12"/>
        <rFont val="Times New Roman"/>
        <family val="1"/>
      </rPr>
      <t xml:space="preserve">2 </t>
    </r>
    <r>
      <rPr>
        <sz val="12"/>
        <rFont val="Times New Roman"/>
        <family val="1"/>
      </rPr>
      <t xml:space="preserve">Detalizēti skaidrojumi par faktisko budžeta  ieņēmumu un izdevumu noviržu iemesliem periodā no </t>
    </r>
    <r>
      <rPr>
        <i/>
        <sz val="12"/>
        <rFont val="Times New Roman"/>
        <family val="1"/>
      </rPr>
      <t>n</t>
    </r>
    <r>
      <rPr>
        <sz val="12"/>
        <rFont val="Times New Roman"/>
        <family val="1"/>
      </rPr>
      <t xml:space="preserve"> gada sākuma līdz pārskata ceturkšņa beigām, kā arī par to izmaiņām, salīdzinot ar </t>
    </r>
    <r>
      <rPr>
        <i/>
        <sz val="12"/>
        <rFont val="Times New Roman"/>
        <family val="1"/>
      </rPr>
      <t>n-1</t>
    </r>
    <r>
      <rPr>
        <sz val="12"/>
        <rFont val="Times New Roman"/>
        <family val="1"/>
      </rPr>
      <t xml:space="preserve"> gada attiecīgo periodu, gadījumos, ja novirze faktisko budžeta ieņēmumu un izdevumu pozīcijās ir virs 5%.</t>
    </r>
  </si>
  <si>
    <t>Izpilde atkarīga no pacientu sarežģītības pakāpes</t>
  </si>
  <si>
    <t>Metāla medicīnisko mēbeļu piegāde operāciju blokiem</t>
  </si>
  <si>
    <t>Desktop datori</t>
  </si>
  <si>
    <t>Monitori</t>
  </si>
  <si>
    <t>Maksas operācijai</t>
  </si>
  <si>
    <t>Drošības nauda</t>
  </si>
  <si>
    <t>Printeri</t>
  </si>
  <si>
    <t>Parādi piegādātājiem un darbuzņēmējiem (jānorāda 5 lielākos kreditorus, visus kavētos maksājumus un pārējo kreditoru kopsummu un kreditoru skaitu)</t>
  </si>
  <si>
    <t>Garantijas summa 5% projektiem</t>
  </si>
  <si>
    <t>Guliver Construction, PS</t>
  </si>
  <si>
    <t>Latvijas Pasts, VENDEN SIA</t>
  </si>
  <si>
    <t>Maiņas naudas kasēs</t>
  </si>
  <si>
    <t>Covid 19 ietekme.</t>
  </si>
  <si>
    <t>stacionārai palīdzībai</t>
  </si>
  <si>
    <t>No NVD projekta līguma Nr. 01-11.4/110</t>
  </si>
  <si>
    <t>Gjensidige, ADB Latvijas filiāle</t>
  </si>
  <si>
    <t>Apdrošināšanas izmaksas nekustamajam īpašumam</t>
  </si>
  <si>
    <r>
      <t>Skaidrojumi</t>
    </r>
    <r>
      <rPr>
        <vertAlign val="superscript"/>
        <sz val="14"/>
        <rFont val="Times New Roman"/>
        <family val="1"/>
      </rPr>
      <t>2</t>
    </r>
  </si>
  <si>
    <r>
      <t>Skaidrojumi</t>
    </r>
    <r>
      <rPr>
        <vertAlign val="superscript"/>
        <sz val="12"/>
        <rFont val="Times New Roman"/>
        <family val="1"/>
      </rPr>
      <t>2</t>
    </r>
  </si>
  <si>
    <t>2021. gada izpilde</t>
  </si>
  <si>
    <t>2022.gada
 plāns</t>
  </si>
  <si>
    <t>Novirze no 2022. gada pārskata perioda plāna</t>
  </si>
  <si>
    <t>Novirze no 2022. gada pārskata perioda plāna, %</t>
  </si>
  <si>
    <t>Izmaiņas, salīdzinot ar 2021. gada attiecīgā perioda izpildi</t>
  </si>
  <si>
    <t>Izmaiņas, salīdzinot ar 2021. gada attiecīgā perioda izpildi, %</t>
  </si>
  <si>
    <t>2021.gada izpilde</t>
  </si>
  <si>
    <t>2022.gada
 12 mēn. plāns</t>
  </si>
  <si>
    <t>Novirze no 2022. gada pārskata perioda plāna, euro</t>
  </si>
  <si>
    <t>Izmaiņas, salīdzinot ar 2021. gada attiecīgā perioda izpildi, euro</t>
  </si>
  <si>
    <t>Palielinājies stacionāro pacientu skaits</t>
  </si>
  <si>
    <t>Maksas pakalpojumi tika sniegti mazāk nekā plānots.Palielinājušās nomniekiem izrakstīto rēķinu summas, ņemot vērā tirgus cenas elektrībai, apkurei, ūdenim, kanalizācijai, atkritumu izvešanai.</t>
  </si>
  <si>
    <t>2021.gada
 izpilde</t>
  </si>
  <si>
    <t>2022. gadā tika noslēgti jauni sadarbības līgumi ar Latvijas universitāti un Rīgas stradiņu universitāti, kas paredz viena rezidenta finansējumu 2493.67 eur  (pirmais, otrais kurss) līdzšinējo 2401.96 eur vietā  un 2711.31 eur (pārējo kursu studentiem) līdzšinējo 2610.42 eur vietā.</t>
  </si>
  <si>
    <t>Palielinājušies investīciju ieņēmumi</t>
  </si>
  <si>
    <t>Maksas pakalpojumi tika sniegti mazāk kā plānots. Palielinājušies ieņēmumi nomniekiem (komunālo pakalpojumu cenu pieaugums).</t>
  </si>
  <si>
    <t>Operāciju galdu pufu piegāde</t>
  </si>
  <si>
    <t>Aprūpes inventāra un medicīnisko mēbeļu piegāde</t>
  </si>
  <si>
    <t>Spēka un pneimatisko instrumentu komplektācijas daļu nomaiņa un papildināšana</t>
  </si>
  <si>
    <t>Medicīnisko ierīču piegāde patohistoloģijas laboratorijai</t>
  </si>
  <si>
    <t>Operāciju zāles medicīniskās aparatūras piegāde</t>
  </si>
  <si>
    <t>Artroskopisko instrumentu un aparatūras piegāde</t>
  </si>
  <si>
    <t>Mobilās ķirurģiskās C-loka iekārtas piegāde</t>
  </si>
  <si>
    <t>Rentgena aizsargtērpu piegāde</t>
  </si>
  <si>
    <t>Videolaringoskopa piegāde</t>
  </si>
  <si>
    <t>Universiālo akumulatora tipa spēka instrumentu komplektu ar savienojumiem piegāde</t>
  </si>
  <si>
    <t>Apavu mazgājamās mašīnas piegāde</t>
  </si>
  <si>
    <t>Funkcionālo pacientu gultu ar galdiņiem piegāde</t>
  </si>
  <si>
    <t>Gaisa dezinfekcijas un attīrīšanas iekārtu piegāde</t>
  </si>
  <si>
    <t>Kondicionieru piegāde un uzstādīšana</t>
  </si>
  <si>
    <t>Biroja mēbeļu piegāde</t>
  </si>
  <si>
    <t xml:space="preserve">Rindu sistēmas aprīkojums Uzņemšanas nodaļā </t>
  </si>
  <si>
    <t>Rindu sistēmas aprīkojums Ambulatorā nod</t>
  </si>
  <si>
    <t>Informatīvie displeji Ambulatorajā nodaļā</t>
  </si>
  <si>
    <t xml:space="preserve">Apskaņošanas sistēma Uzņermšanas nodaļā </t>
  </si>
  <si>
    <t>Yealink telefona centrāle</t>
  </si>
  <si>
    <t>Datori (All in one)</t>
  </si>
  <si>
    <t>Laptops (IT nodaļas vajadzībām)</t>
  </si>
  <si>
    <t>Jauns karšu printeris Personāla daļai</t>
  </si>
  <si>
    <t>Procesori</t>
  </si>
  <si>
    <t>Skaidrojumi12</t>
  </si>
  <si>
    <r>
      <t xml:space="preserve">Ieguldījumu pozīcija </t>
    </r>
    <r>
      <rPr>
        <vertAlign val="superscript"/>
        <sz val="12"/>
        <rFont val="Times New Roman"/>
        <family val="1"/>
      </rPr>
      <t>1</t>
    </r>
  </si>
  <si>
    <r>
      <t xml:space="preserve">Attīstības pasākumi un programmas </t>
    </r>
    <r>
      <rPr>
        <vertAlign val="superscript"/>
        <sz val="12"/>
        <rFont val="Times New Roman"/>
        <family val="1"/>
      </rPr>
      <t xml:space="preserve">2 </t>
    </r>
    <r>
      <rPr>
        <sz val="12"/>
        <rFont val="Times New Roman"/>
        <family val="1"/>
      </rPr>
      <t xml:space="preserve"> t.sk.:</t>
    </r>
  </si>
  <si>
    <r>
      <t xml:space="preserve">Datorprogrammas </t>
    </r>
    <r>
      <rPr>
        <vertAlign val="superscript"/>
        <sz val="12"/>
        <rFont val="Times New Roman"/>
        <family val="1"/>
      </rPr>
      <t xml:space="preserve">3 </t>
    </r>
    <r>
      <rPr>
        <sz val="12"/>
        <rFont val="Times New Roman"/>
        <family val="1"/>
      </rPr>
      <t xml:space="preserve"> t.sk.:</t>
    </r>
  </si>
  <si>
    <r>
      <t xml:space="preserve">Pārējie nemateriālie ieguldījumi </t>
    </r>
    <r>
      <rPr>
        <vertAlign val="superscript"/>
        <sz val="12"/>
        <rFont val="Times New Roman"/>
        <family val="1"/>
      </rPr>
      <t>4</t>
    </r>
    <r>
      <rPr>
        <sz val="12"/>
        <rFont val="Times New Roman"/>
        <family val="1"/>
      </rPr>
      <t xml:space="preserve">  t.sk.:</t>
    </r>
  </si>
  <si>
    <r>
      <t xml:space="preserve">Nedzīvojamās ēkas </t>
    </r>
    <r>
      <rPr>
        <vertAlign val="superscript"/>
        <sz val="12"/>
        <rFont val="Times New Roman"/>
        <family val="1"/>
      </rPr>
      <t>5</t>
    </r>
  </si>
  <si>
    <r>
      <t xml:space="preserve">Zeme zem ēkām un būvēm </t>
    </r>
    <r>
      <rPr>
        <vertAlign val="superscript"/>
        <sz val="12"/>
        <rFont val="Times New Roman"/>
        <family val="1"/>
      </rPr>
      <t>6</t>
    </r>
  </si>
  <si>
    <r>
      <t xml:space="preserve">Pārējā zeme </t>
    </r>
    <r>
      <rPr>
        <vertAlign val="superscript"/>
        <sz val="12"/>
        <rFont val="Times New Roman"/>
        <family val="1"/>
      </rPr>
      <t>7</t>
    </r>
  </si>
  <si>
    <r>
      <t xml:space="preserve">Celtnes un būves </t>
    </r>
    <r>
      <rPr>
        <vertAlign val="superscript"/>
        <sz val="12"/>
        <rFont val="Times New Roman"/>
        <family val="1"/>
      </rPr>
      <t>8</t>
    </r>
  </si>
  <si>
    <r>
      <t xml:space="preserve">Pārējais nekustamais īpašums </t>
    </r>
    <r>
      <rPr>
        <vertAlign val="superscript"/>
        <sz val="12"/>
        <rFont val="Times New Roman"/>
        <family val="1"/>
      </rPr>
      <t>9</t>
    </r>
  </si>
  <si>
    <r>
      <t xml:space="preserve">Nepabeigtā būvniecība </t>
    </r>
    <r>
      <rPr>
        <vertAlign val="superscript"/>
        <sz val="12"/>
        <rFont val="Times New Roman"/>
        <family val="1"/>
      </rPr>
      <t>10</t>
    </r>
  </si>
  <si>
    <r>
      <t xml:space="preserve">Tehnoloģiskās iekārtas un mašīnas </t>
    </r>
    <r>
      <rPr>
        <vertAlign val="superscript"/>
        <sz val="12"/>
        <rFont val="Times New Roman"/>
        <family val="1"/>
      </rPr>
      <t xml:space="preserve">11 </t>
    </r>
    <r>
      <rPr>
        <sz val="12"/>
        <rFont val="Times New Roman"/>
        <family val="1"/>
      </rPr>
      <t xml:space="preserve"> t.sk.:</t>
    </r>
  </si>
  <si>
    <r>
      <t xml:space="preserve">Transportlīdzekļi </t>
    </r>
    <r>
      <rPr>
        <vertAlign val="superscript"/>
        <sz val="12"/>
        <rFont val="Times New Roman"/>
        <family val="1"/>
      </rPr>
      <t xml:space="preserve">12 </t>
    </r>
    <r>
      <rPr>
        <sz val="12"/>
        <rFont val="Times New Roman"/>
        <family val="1"/>
      </rPr>
      <t xml:space="preserve"> t.sk.:</t>
    </r>
  </si>
  <si>
    <r>
      <t xml:space="preserve">Saimniecības pamatlīdzekļi </t>
    </r>
    <r>
      <rPr>
        <vertAlign val="superscript"/>
        <sz val="12"/>
        <rFont val="Times New Roman"/>
        <family val="1"/>
      </rPr>
      <t>13</t>
    </r>
    <r>
      <rPr>
        <sz val="12"/>
        <rFont val="Times New Roman"/>
        <family val="1"/>
      </rPr>
      <t xml:space="preserve">  t.sk.:</t>
    </r>
  </si>
  <si>
    <r>
      <t xml:space="preserve">Datortehnika, sakaru un cita biroja tehnika </t>
    </r>
    <r>
      <rPr>
        <vertAlign val="superscript"/>
        <sz val="12"/>
        <rFont val="Times New Roman"/>
        <family val="1"/>
      </rPr>
      <t>14</t>
    </r>
    <r>
      <rPr>
        <sz val="12"/>
        <rFont val="Times New Roman"/>
        <family val="1"/>
      </rPr>
      <t xml:space="preserve"> t.sk.:</t>
    </r>
  </si>
  <si>
    <t>Pieaudzis  pacientu skaits ar akūtām traumām, kas novirzīti turpmākai ambulatorai ārstēšanai</t>
  </si>
  <si>
    <t>2021.g. samazināta pacientu plūsma COVID19 ārkārtas situācijas dēļ</t>
  </si>
  <si>
    <t>2021.g bija ievērojami samazināts dienas stacionārā veikto operāciju skaits COVID19 ārkārtas situācijas dēļ, lai nodrošinātu stacionāro pakalpojumu sniegšanu</t>
  </si>
  <si>
    <t>Baltrade Oy</t>
  </si>
  <si>
    <t>2021.gadu esam noslēguši ar zaudējumiem 221915 eiro, kas ietekmēja iepriekšējo gadu nesadalītās peļņas daļu.</t>
  </si>
  <si>
    <t>No 2022.g. atbrīvotajās kategorijās iekļautas personas ar II grupas invaliditāti, līdz ar ko pieaudzis finanšu apjoms šajā pozīcijā, bet plāns veidots balstoties uz līgumā ar NVD paredzēto finansējumu, kas noteikts 2021.g. līmenī</t>
  </si>
  <si>
    <t>No 2022.g. atbrīvotajās kategorijās iekļautas personas ar II grupas invaliditāti, līdz ar ko pieaudzis finanšu apjoms šajā pozīcijā</t>
  </si>
  <si>
    <t>2021.g. bija ievērojami samazināts ambulatoro pakalpojumu apjoms un dienas stacionāra pakalpojumu apjoms, lai nodrošinātu stacionāro pakalpojumu sniegšanu COVID 19 ārkārtas situācijas dēļ</t>
  </si>
  <si>
    <t>2022. gadā tika noslēgti jauni sadarbības līgumi ar Latvijas universitāti un Rīgas Stradiņu universitāti, kas paredz viena rezidenta finansējumu 2493.67 eur  (pirmais, otrais kurss) līdzšinējo 2401.96 eur vietā  un 2711.31 eur (pārējo kursu studentiem) līdzšinējo 2610.42 eur vietā.</t>
  </si>
  <si>
    <t>Finansējuma apguve atkarīga no pacientu, kuriem tiek kompensēta pacientu iemaksa, īpatsvara</t>
  </si>
  <si>
    <t>SMARTHUB, Belimed iekārtu ciklu parametru uzskaites programma</t>
  </si>
  <si>
    <t>Ultrasonogrāfijas iekārta</t>
  </si>
  <si>
    <t>Pārēje</t>
  </si>
  <si>
    <t>Veļas mazgājamā mašīna mopiem</t>
  </si>
  <si>
    <t>Maksas pakalpojumi sniegti lielākā apjomā.Palielinājušies ieņēmumi nomniekiem (komunālo pakalpojumu cenu pieaugums).</t>
  </si>
  <si>
    <t xml:space="preserve">Noslēgts jauns līgums ar Latvijas Universitāti, mainīti līguma nosaacījumi. Par rezidentu apmācību ir noteikta mēneša maksa 2176.37 EUR (1-2 kurss) un 2394.01 EUR (3-4 kurss), līdz tam 8.50 EUR dienā par rezidenta apmācību. </t>
  </si>
  <si>
    <t>Artropulss SIA</t>
  </si>
  <si>
    <t>Rezidentu apmācība</t>
  </si>
  <si>
    <r>
      <t>Skaidrojumi</t>
    </r>
    <r>
      <rPr>
        <vertAlign val="superscript"/>
        <sz val="14"/>
        <rFont val="Times New Roman"/>
        <family val="1"/>
      </rPr>
      <t>1</t>
    </r>
  </si>
  <si>
    <t>2022. gadā netika plānoti Valsts aizsardzības loģistikas un iepirkumu centra bezmaksas saņemtie vienreiz lietojamie aizsardzības līdzekļi.</t>
  </si>
  <si>
    <r>
      <t>Skaidrojumi</t>
    </r>
    <r>
      <rPr>
        <vertAlign val="superscript"/>
        <sz val="13"/>
        <rFont val="Times New Roman"/>
        <family val="1"/>
        <charset val="186"/>
      </rPr>
      <t>2</t>
    </r>
  </si>
  <si>
    <r>
      <rPr>
        <vertAlign val="superscript"/>
        <sz val="13"/>
        <rFont val="Times New Roman"/>
        <family val="1"/>
        <charset val="186"/>
      </rPr>
      <t xml:space="preserve">2 </t>
    </r>
    <r>
      <rPr>
        <sz val="13"/>
        <rFont val="Times New Roman"/>
        <family val="1"/>
        <charset val="186"/>
      </rPr>
      <t>Detalizēti skaidrojumi par faktisko Naudas plūsmas pozīciju noviržu iemesliem periodā no n gada sākuma līdz pārskata ceturkšņa beigām, kā arī par to izmaiņām, salīdzinot ar n-1 gada attiecīgo periodu, gadījumos, ja novirze faktisko Naudas plūsmas pozīcijās ir virs 5%.</t>
    </r>
  </si>
  <si>
    <t>Centrālapkures patēriņš (kWh)</t>
  </si>
  <si>
    <t>Ierobežoti subakūtās rehabilitācijas pakalpojumiem</t>
  </si>
  <si>
    <t>Nodrošināta iespēja palielināt dienas stacionārā veikto operāciju skaitu</t>
  </si>
  <si>
    <t>Licence datu loģistikas programmai Synapsis</t>
  </si>
  <si>
    <t>Kude Igors</t>
  </si>
  <si>
    <t>E-komercijas pacientu iemaksa</t>
  </si>
  <si>
    <t>Medasistents SIA</t>
  </si>
  <si>
    <t>Ambulatorie medicīniskie pakalpojumi</t>
  </si>
  <si>
    <r>
      <t xml:space="preserve">Pamatlīdzekļu un nemateriālo ieguldījumu iegāde kopā </t>
    </r>
    <r>
      <rPr>
        <b/>
        <vertAlign val="superscript"/>
        <sz val="13"/>
        <color theme="1"/>
        <rFont val="Times New Roman"/>
        <family val="1"/>
        <charset val="186"/>
      </rPr>
      <t>1</t>
    </r>
  </si>
  <si>
    <r>
      <t xml:space="preserve">Dotācija no pašvaldības budžeta kopā </t>
    </r>
    <r>
      <rPr>
        <i/>
        <sz val="13"/>
        <color theme="1"/>
        <rFont val="Times New Roman"/>
        <family val="1"/>
        <charset val="186"/>
      </rPr>
      <t>(sadalījumā pa projektiem un/vai finansējuma mērķiem), t.sk.</t>
    </r>
  </si>
  <si>
    <r>
      <t xml:space="preserve">Eiropas Struktūrfondi investīcijām kopā </t>
    </r>
    <r>
      <rPr>
        <i/>
        <sz val="13"/>
        <color theme="1"/>
        <rFont val="Times New Roman"/>
        <family val="1"/>
        <charset val="186"/>
      </rPr>
      <t>(sadalījumā pa projektiem un/vai finansējuma mērķiem)</t>
    </r>
  </si>
  <si>
    <r>
      <t xml:space="preserve">Valsts budžeta līdzekļi kopā </t>
    </r>
    <r>
      <rPr>
        <i/>
        <sz val="13"/>
        <color theme="1"/>
        <rFont val="Times New Roman"/>
        <family val="1"/>
        <charset val="186"/>
      </rPr>
      <t>(sadalījumā pa projektiem un/vai finansējuma mērķiem), t.sk.</t>
    </r>
  </si>
  <si>
    <r>
      <t xml:space="preserve">Citi līdzekļi kopā </t>
    </r>
    <r>
      <rPr>
        <i/>
        <sz val="13"/>
        <color theme="1"/>
        <rFont val="Times New Roman"/>
        <family val="1"/>
        <charset val="186"/>
      </rPr>
      <t>(sadalījumā pa projektiem un/vai finansējuma mērķiem), t.sk.</t>
    </r>
  </si>
  <si>
    <r>
      <t xml:space="preserve">Ziedojumi </t>
    </r>
    <r>
      <rPr>
        <i/>
        <sz val="13"/>
        <color theme="1"/>
        <rFont val="Times New Roman"/>
        <family val="1"/>
        <charset val="186"/>
      </rPr>
      <t>(sadalījumā pa projektiem un/vai finansējuma mērķiem), t.sk.</t>
    </r>
  </si>
  <si>
    <t xml:space="preserve"> Instrumenti tiek pasūtīti pēc vajadzības, lai nodrošinātu slimnīcas darbu, veidojot komplektus, vai aizstājot nolietotos instrumentus. </t>
  </si>
  <si>
    <t>Plāns sastādīts ņemot vērā iepriekšējā gada rādītājus, lai gan Covid izplatības dēļ bija ierobežotas iespējas sniegt plānveida medicīnas pakalpojumus 2022. gadā ir pieaudzis pacientu skaits ar akūtām traumām.</t>
  </si>
  <si>
    <t>Pieaugumu ietekmējis PVN likmes maiņa medicīnas precēm - no 12% uz 21%.</t>
  </si>
  <si>
    <t>2022.gadā no janvāra līdz jūnijam darbiniekiem, kuri strādāja paaugstināta riska apstākļos ar Covid19 pacientiem, saskaņā ar slimīcas atskaiti, kompensēti izdevumi piemaksu nodrošināšanai darbiniekiem.</t>
  </si>
  <si>
    <t>Izpilde periodā no 2021. gada sākuma līdz 4. ceturkšņa beigām</t>
  </si>
  <si>
    <t>Plāns periodam no 2022. gada sākuma līdz pārskata 4. ceturkšņa beigām</t>
  </si>
  <si>
    <t>Izpilde periodā no 2022. gada sākuma līdz 4. ceturkšņa beigām</t>
  </si>
  <si>
    <t>Izpilde periodā no 2022. gada sākuma līdz pārskata 4. ceturkšņa beigām</t>
  </si>
  <si>
    <t>Izpilde periodā no 2021. gada sākuma līdz pārskata 4. ceturkšņa beigām</t>
  </si>
  <si>
    <t>Palielinājies maksas pacientu skaits.Palielinājušās nomniekiem izrakstīto rēķinu summas, ņemot vērā tirgus cenas elektrībai, apkurei, ūdenim, kanalizācijai, atkritumu izvešanai.</t>
  </si>
  <si>
    <t>No 2022.g. atbrīvotajās kategorijās iekļautas personas ar II grupas invaliditāti, līdz ar ko samazinājies finanšu apjoms šajā pozīcijā</t>
  </si>
  <si>
    <t>Palielināts noslēgtā finansējuma apjoms</t>
  </si>
  <si>
    <t xml:space="preserve">Modernāka siltummezgla izbūve. </t>
  </si>
  <si>
    <t xml:space="preserve">Ieviesti energo taupības režīmi </t>
  </si>
  <si>
    <t>Rasta iespēja būtiski palielināt plānveida lielo locītavu endoprotezēšanu</t>
  </si>
  <si>
    <t>2021.g. samazināta maksas ambulatoro pacientu plūsma COVID19 ārkārtas situācijas dēļ</t>
  </si>
  <si>
    <t>Salīdzinot ar 2021.gadu vidējais nostrādātais virsstundu skaits uz vienu darbinieku ir samazinājies, jo ir vērojams personāla skaita pieagums.</t>
  </si>
  <si>
    <t>Piešķirts papildus finansējums  tiešo energoresursu sadārdzinājuma kompensēšanai. Papildus finansējums endoprotezēšanai.</t>
  </si>
  <si>
    <t>Palielināts noslēgtā finansējuma apjoms stacionārai palīdzībai</t>
  </si>
  <si>
    <t xml:space="preserve">Ņemot vērā darbinieku mainību, 2022.gadā, mēneša amatalga valdei ieplānota priekš 3 nodarbinātajiem. </t>
  </si>
  <si>
    <t>1142- ņemot vērā straujo darbinieku saslimstību (2022.gadā slimības lapu skaits salīdzinot ar 2021.gadu pieaudzis par 47.34%, savukart slimošanas ilgums par 18.47%), darbiniekiem nākas strādāt papildus virsstundas, lai nodrošonātu slimnīcas nepārtrauktu darbu. 1146/1147 -  piemaksu aprēķinu būtiski ietekmē darbinieku slimošana. Plāns tika sastādīts ņemot vērā 2021.gada izdevumus un plānoto algu palielinājumu.  2022.gada plāns nav izpildīts, jo būtiski palielinājās darbinieku saslimstība. 1148-Māsu dienā vidējam un jaunākajam medicīnas personālam izmaksātas prēmijas. 2022.gadā slimnīcas darbiniekiem uz Ziemassvētkiem tika izmaksātas prēmijas par kvalitatīvi veikti darbu. 1149 - Ņemot vērā slimības lapu apjoma un slimošanas ilguma palielināšanos darbiniekiem veiktas piemaksas par darba apjoma palielināšanos kolēģu prombūtnes laikā.</t>
  </si>
  <si>
    <t>Plāns sastādīts ņemot vēra 2021.gada izmaksas līgumdarbinieku atalgojumam. 2022.gadā tika plānots, ka izdevumi varētu palienāties saistībā ar rezidentu apmācību mazinoties Covid19 izplatībai. Apmācību vienību skaits ir palienājies - praktiskā apmācība par 14.67% savukārt teorētikā apmācība par 19.73%.</t>
  </si>
  <si>
    <t>2022.gadā darbiniekiem uz Ziemassvētkiem izmaksāja prēmijas par kvalitatīti veikti darbu. 2022.gadā prēmijas netika plānotas, jo prēmiju izmaksa atkarīgā no slimnīcas finanšu rādītājiem.</t>
  </si>
  <si>
    <t>1221 - plāns tika sastādīts ņemot vērā algu palielinājumu medicīnas personālam un slimības lapu apjomu saistībā ar Covid19 izplatību. Salīdzinot ar 2021.gadu slimības lapu apjoms pieaudzis par 47.34%, savukārt slimošanas ilgums par 18.47%. Būtiski pieauga A lapas, salīdzinot ar 2021.gadu. Skaits pieauga par 106.70%, savukārt slimošanas ilgums par 98.47%, kas būtiski palienāja izdevumus, kas iepriekš netika plātoti. Tika plānots, ka Covid slimošanai joprojām tiks pieškirtas slimības lapas B. 1228 - kompensācija redzes korekcijas līdzekļu iegādei plānota ņemot vērā 2021. gada izdevumus.Gan 2021.gadā un 2022.gadā pieprasījums pēc kompensācijas briļļu iegādei ir līdzvērtīgs (2021.gadā 6 cilvēki un 2022.gadā 6 cilvēki), lai gan gada sākumā tika plānots, ka pieprasījums varētu palielināties.</t>
  </si>
  <si>
    <t>Plāns sastādīts ņemot vēra 2021. gada izdevumus apmācībām. 2021.gadā apmaksāt kursus par "Minimālajām sanitārajām prasībām" pieprasīja 1 darbinieks, savukārt 2022.gada 2 darbinieki.</t>
  </si>
  <si>
    <t>Plāns sastādīts ņemot vērā 2021.gada izdevumus personālā apmācībām. 2022.gadā mazinoties Covid19 ierobežojumiem, darbinieki intensīvāk atsākuši apmeklēt kursus kvalifikācijas celšanai.</t>
  </si>
  <si>
    <t>2022.gada plāns sastādīts ņemot vērā 2021.gada izpildi. Faktiskā izpilde ir mazāka nekā plānots, jo 2022.gadā samazinājušies izdevumi par telefona sakaru pakalpojumiem un parējie izdevumi, kas saistīti ar sakaru nodrošināšanu slimnīcā.</t>
  </si>
  <si>
    <t>2221 - 2022.gadā saskaņā ar Līgumu Nr.01-29/105 tika izveidots siltumapgādes pieslēgums siltumtīklam, lai siltumu slimnīcā nodrošinātu A/S Rīgas siltums, līdz ar to faktiskā izpilde 2022.gadā ir lielāka nekā plānots, jo pieslēguma izveide papildus izmaksāja 38054.54  eiro. 2222 - 2022.gada plāns sastādīts ņemot vērā 2021.gada izpildi, ūdens patēriņš un kanalizācijas apjoms 2022.gadā ir samazinājies par 6%, savukārt pieaugusi maksa par vienu m3. Ūdens apgādes cena pieagusi par 0.35 centiem, savukār kanalizācijas cena par 0.47 centiem. 2223- Eletroenerģijas patēriņš 2022.gadā samazinājies par 11% (ieviešot taupības pasākumus). 2022.gadā būtiski pieagusi cena par 1 kwh - 2021.gadā vidējā cena 0.12 centi, bet 2022.gadā vidējā cena par 1 kwh pieauga līdz 0.255 centiem. 2224- 2022.gadā palielināts tarifs sadzīves atkritumu izvešanai (2021.gadā 14.24 par m3, no 01/2022- 06/2022 20.04 eiro par m3, no 07.2022. 20.79 eiro par m3). 2022.gadā pieaudzis biomateriāls (kremācijai) par 90 kg - saistīts ar operāciju apjoma palielināšanos mazinoties Covid19 ierobežojumiem.</t>
  </si>
  <si>
    <t>2022.gadā plānots ka izdevumi transporta pakalpojumiem varētu pieaugt ņemot vērā cenu kāpumu degvielai. Faktiskā izpilde salīdzinot ar plānu ir mazāka.</t>
  </si>
  <si>
    <t>2022.gadā tika plānots, ka mazinoties Covid 19 izplatībai varētu būtiski pieaugt izmaksas par mācību pakalpojumiem, jo darbinieki atsāktu apmeklēt kursus un seminārus, kas 2021.gadā bija ierobežots. Faktiskā izpilde ir mazāka nekā plānots 2022.gada sākumā.</t>
  </si>
  <si>
    <t>Plāns sastādīts ņemot vērā iepriekšējā gada izmaksas  - banku komisijas maksas, kā arī izdevumi par skaidrās naudas inkasēšanas nodrošināšanu. Ņemot vērā pakalpojumu cenu kāpumu, tika plānota, ka pakalpojumu izmaksas varētu pieaugt. Plānotie izdevumi salīdzinot ar pagājušo gadu ir pieauguši - izdevumi par inkasācijas nodrošināšanu 10.42 %, savukārt banku komisijas maksas par 10.10% - no 2022.gada janvāra slimnīcā ieviesta e-komerija, kur par attālinātu ārsta konsultāciju var norēķināties caur banku. Līdz ar to SEB bankā atvērts jauns konts, kur tāpat, kā citos kontos ir jāmaksa komisijas maksa par darbībām kontā un konta uzturēšanu.</t>
  </si>
  <si>
    <r>
      <t xml:space="preserve">2022. gadā pieauguši izdevumi pārējiem neklasificētajiem pakalpojumiem.  Plāns sastādīts ņemot </t>
    </r>
    <r>
      <rPr>
        <sz val="12"/>
        <rFont val="Times New Roman"/>
        <family val="1"/>
        <charset val="186"/>
      </rPr>
      <t>vērā 2021.gada izdevumus. 2022.gadā izdevumi palielinājušies veļas mazgāšanai, pārējiem medicīnas pakalpojumiem (</t>
    </r>
    <r>
      <rPr>
        <sz val="12"/>
        <rFont val="Times New Roman"/>
        <family val="1"/>
      </rPr>
      <t>analīzes, izmeklējumi, asins grupu testi), izdevumi rezidentu apmācībai (2021.gadā 11133.85 eiro, 2022.gadā 13976.44 eiro), izdevumi apsardzes pakalpojumiem, izdevumi citiem vadīšanas un administrācijas izdevumiem. 2022.gadā tika saņemtas revīzijas un vadības konsultācijas par grāmatvedības politikas izstrādāšanu -2800 eiro, un konsultācija par nekustamā īpašuma izvērtēšanu 585 eiro. 2022.gadā saņemti atlases firmas pakalpojumi (valdes locekļa amatam) 7400 eiro apmērā, kā arī veikts elektroaudits, lai sakārtotu energoefektivitāti slimnīcā - 9075 eiro.</t>
    </r>
  </si>
  <si>
    <t>2241 - 2022.gada plāns sastādīts ņemot vērā iepriekšējā gada izdevumus. 2022.gadā līdzekļu taupības nolūkos un iespēju robežās remondarbus veica Saimniecības daļas darbinieki. 2022. gadā netika veikti remontdarbi pieskaistot būvniecības uzņemumus. 2242 - 2022.gadā izpilde ir lielāka nekā plānots gada sākumā, jo a/m Škoda 2022.gadā tika izieta tehniskā apskate un apmaksāti nodokļi par 2 gadiem. 2243 - 2022.gadā palielinājušies pārējie izdevumi saimniecisko iekārtu tehnikajai apkopei,remontam - 2022.gadā veikta ventilācijas sistēmu gaisa vadu tīrīšana( 20503.62 eiro apmērā).  2244 - 2022.gadā palielinājušies izdevumi nekustamā īpašuma uzturēšanai: izmaksas pieagušas darba aizsardzības sistēmas uzturēšanai, deratizācijas pakalpojumiem. 2247 - apdrošināšanas izdevumiem pieagušas izmaksas(Kasko izmaksas pieaugušas par 65 eiro, OCTAS par 51 eiro, nekustamā īpašum nodoklis par 925 eiro).</t>
  </si>
  <si>
    <t>Salīdzinot ar 2021.gadu un plānu 2022.gadā samazinājušies programmatūru uzturēšanas pakalpojumu izmaksas un nomas pakalpojumi.</t>
  </si>
  <si>
    <t>2022.gadā pieaugušas izmaksas iekārtu,aparatūras un inventāra īrei: ires izmaksas palielinājušās LindeGas, Elis, Venden. 2269 - 2022.gadā noma iekārtām ir samazinājusies. No Arbor Medical Korporācija SIA vairs netiek nomāta ultrasonogrāfijas iekārtas Affiniti, jo slimīca 09.06.2021. iegādājusies savu.</t>
  </si>
  <si>
    <t>2022.gadā tika plānots, ka izdevumi par juridiskajiem pakalpojumiem varētu palielināties salīdzinot ar 2021.gadu, ņemot vērā dažādas izmaiņas likumdošanā. Izpilde ir mazāka, nekā plānots sākumā.</t>
  </si>
  <si>
    <t>2022.gada plāns sastādīts  saskaņā ar 2021. gada attiecīgā perioda izpildi. Izpilde ir lielāka nekā plānots gada sākumā, jo pabeigto lietu skaits piedziņas procesā ir palielinājies. 2021. gadā  698 lietas, savukārt 2022.gadā 859 lietas.</t>
  </si>
  <si>
    <t>2022.gadā faktiskā izpilde biroja preču iegādei ir lielāka nekā plānots. 2022.gadā pieaugot cenām par 28.06% palielinājušies izdevumi dažādu medicīnisko veidlapu iegādei. 2022.gadā pieagušas cenas kancelejas precēm, piemēram 2021.gadā iepakojums A4 papīrs maksāja 2.35, savukārt 2022.gadā cena par iepakojumu sasniedza 3.70 eiro.  2022.gadā pieprasījums pēc indivuduālās aizsardzības līdzekļiem ir mazāks, jo valstī mazinājusies Covid19 izplatība un ierobežojumi.</t>
  </si>
  <si>
    <t>2022. gada plāns sastādīts ņemot vērā iepriekšējā gada izdevumus degvielai. Plāns ir pārsniegts, jo palielinājusies degvielas cena, kā arī palielinājies degvielas patēriņš. 2022.gadā pasūtītos materiālus no veikaliem cenšamies izņemt paši, lai operatīvāk orgazinētu dažādus darbus slimnīcā. (Piedāde ar kurjēru bieži vien ir jāgaida vairākas dienas, kas kavē plānotos darbus).</t>
  </si>
  <si>
    <t>Plāns sastādīts ņemot vērā iepriekšējā gada rādītājus, plānojot, ka pacientu aprūpe un operāciju apjoms varētu palielināties, līdz ar to līdzekļu izlietojums medicīnas precēm plānots lielāks nekā iepriekšējā gadā.  2022.gadā izlietots vairāk nekā plānots gada sākumā, jo mazinoties Covid19 ietekmei uz pacientu aprūpi palielinājies pacientu skaits, kuriem sniegta medicīniskā palīdzība.</t>
  </si>
  <si>
    <t>2022. gadā  izpilde ir lielāka nekā plānots sākumā, jo daudzi remontdarbi tiek veikti pašu spēkiem. 2022.gadā vērojams cenu pieagums materiāliem un izejvielām.</t>
  </si>
  <si>
    <t>Mazvērtīgā inventāra plāns sastādīts ņemot vēra iepriekšējā gada izdevumus - 2022.gadā inventārā iegādei iztērēti mazāk līdzekļi nekā iepriekšējā gadā, jo inventāra iegāde/ nomaiņa tiek veikta nepieciešāmības gadījumā, izvērtējot iesniegumus, par nepieciešamību. Plāns par ēdināšanu sastādīts ņemot vērā 2021.gada izmaksas. Plāns ir pārtērēts, jo ņemot vērā eletroenerģijas cenu pieaugumu ir pieaugušas izmaksas par vienu porciju. Salīdzinot ar 2021.gada porcijas cena 2022.gadā ir palielināta divas reizes (2021.gadā parastā porcija maksāja 3.70, savukār 2022.gadā 4.07, bet no 01.07.2022. 5.48)</t>
  </si>
  <si>
    <t xml:space="preserve"> 2512-Plāna izpildi ietekmēja  pievienotā vērtības nodokļa izmaiņas: no 12% un 21%. 2515 - no 04.2022. dabas resursu nodoklis vairs netiek aprēķināts - slimnīcā vairs netiek izmantota gāzes apkure.</t>
  </si>
  <si>
    <t>2022.gada plāns sastādīts ņemot vērā iepriekšējā gada nolietojumu. 2022.gadā atjaunotas un pagarinātas licences, kas būtiskas slimnīcas darba nodrošinānai. Salīdzinot ar 2021.gadu 2022.gadā samazinājusies nemateriālo ieguldījumu uzskaites vērtības kopsumma (saistīts ar licenču/programmu  nolietojuma aprēķina perioda beigšanos, un jaunu licenču/programmu iegādi).</t>
  </si>
  <si>
    <t>2022.gadā pacienti par kavētām rēķinu apmaksām ir samaksājuši vairāk soda naudu, nekā tika plānots gada sākumā.</t>
  </si>
  <si>
    <t>Norakstīto pamatlīdzekļu atlikusī vērtība 2022.gadā samazinājusies likvidētajiem pamatlīdzekļiem - 2021.gadā no kopējās summas tie bija 5.83%, savukārt 2022.gadā likvidēto pamatlīdzekļu atlikusī vērtība skatoties pret kopsummu ir 4.48%. 8700- 2022.gada plāns sastādīts ņemot vērā iepriekšēja gada rādītājus. Salīdzinot ar 2021.gadu, samazinājušās neizmantoto atvaļinājumus dienas uz 31.decembri - 2021.gadā neizmantotās atvaļinājuma dienas slimnīcas personālam 454.65, savukārt 2022.gadā 250.99. 8600- salīdzinot plānu ar 2022.gada faktisko izpildi izdevumi debitoru parādu norakstīšanai ir samazinājušies.</t>
  </si>
  <si>
    <t>Vērojams algu izdevumu samazinājums slimnīcas valdei - salīdzinot 2021.gadu ar 2022.gadu vērojamas personāla izmaiņas. No 19.02.2022. līdz 29.09.2022. slimnīcas valdē darbojās 2 cilvēki. No 30.09.2022. noslēgts līgums ar trešo valdes locekli. Medicīnas personālam palielinātas algas no 01.01.2022. par 4.3%.</t>
  </si>
  <si>
    <t>1141/1142 - medicīnas personālam palielinātas algas no 01.01.2022. par aptuveni 4.3%. 1142- ņemot vērā straujo darbinieku saslimstību (2022.gadā slimības lapu skaits salīdzinot ar 2021. gadus pieaudzis par 47.34%, savukart slimošanas ilgums par 18.47%), darbiniekiem nākas strādāt papildus virsstundas, lai nodrošonātu slimnīcas nepārtrauktu darbu. 1145 -  Salīdzinot ar iepriekšējā gada  izpildi, piemaksas par darbu saistībā ar Covid19 tiek norādītās pozīcijā 8900. 1146/1147 -  piemaksu aprēķinu būtiski ietekmē darbinieku slimošana. Salīdzinot ar 2021. gadu izdevumi ir mazāki, jo darbinieki kuriem ir procentuālās piemaksas slimo, kas ietekmē izmaksas apjomu. Atsevišām piemaksas no 1149 mainīts EKK uz 1145 vai 1147.   1148 - Starptautiskajā māsu dienā vidējam un jaunākajām medicīnas personāma  izmaksātas prēmijas, arī Ziemassvētkos darbiniekiem izmaksātas prēmijas par kvalitatīvi veiktu darbu. 2021. gadā prēmijas uz Ziemassvētkiem netika izmaksātas. 1149 - Atsevišķām piemaksām EKK no 1149 mainīts uz 1145 vai 1147. 1149 - Ņemot vērā slimības lapu apjoma un slimošanas ilguma palielināšanos darbiniekiem veiktas piemaksas par darba apjoma palielināšanos kolēģu prombūtnes laikā.</t>
  </si>
  <si>
    <t>Salīdzinot ar 2021.gadu palielinājušies izdevumi rezidentu apmācībai. Apmācību vienību skaits ir palienājies - praktiskā apmācība par 14.67% savukārt teorētikā apmācība par 19.73%.</t>
  </si>
  <si>
    <t>2022.gadā darbiniekiem uz Ziemassvētkiem izmaksāja prēmijas par kvalitatīti veikti darbu. 2022.gadā prēmijas netika plānotas, jo prēmiju izmaksa atkarīgā no slimnīcas finansu rādītājiem. Medicīnas personālam palielinātas algas par aptuveni 4.3%.</t>
  </si>
  <si>
    <t xml:space="preserve">Medicīnas personālam palielināta alga par atuveni 4.3%. Salīdzinot ar 2021.gadu slimības lapu apjoms pieaudzis par 47.34%, savukārt slimošanas ilgums par 18.47%. Būtiski pieauga A lapas, salīdzinot ar 2021.gadu. Skaits pieauga par 106.70%, savukārt slimošanas ilgums par 98.47%, kas būtiski palienāja izdevumus.. Tika plānots, ka Covid slimošanai joprojām tiks pieškirtas slimības lapas B. </t>
  </si>
  <si>
    <t xml:space="preserve"> 2021.gadā apmaksāt kursus par "Minimālajām sanitārajām prasībām" pieprasīja 1 darbinieks, savukārt 2022.gadā. 2 darbinieki.</t>
  </si>
  <si>
    <t>2022.gadā apmeklēti 6 kursi 7711.84 eiro apmērā, savukārt vecākajai fizioterepeitei apmaksāti komandējuma izdevumi 816.98 apmērā. Salīdzinot ar 2021.gadu izdevumi pieaguši mazinoties Covid19 ierobežojumiem.</t>
  </si>
  <si>
    <t>2221 - 2022.gadā saskaņā ar Līgumu Nr.01-29/105 tika izveidots siltumapgādes pieslēgums siltumtīklam, lai siltumu slimnīcā nodrošinātu A/S Rīgas siltums -  pieslēguma izveide papildus izmaksāja 38054.54  eiro. 2222 -  Ūdens patēriņš un kanalizācijas apjoms 2022.gadā ir samazinājies par 6%, savukārt pieagusi maksa par vienu m3. Ūdens apgādes cena pieagusi par 0.35 centiem, savukār kanalizācijas cena par 0.47 centiem. 2223- Eletroenerģijas patēriņš 2022.gadā samazinājies par 11% (ieviešot taupības pasākumus). 2022.gadā būtiski pieagusi cena par 1 kwh - 2021.gadā vidējā cena 0.12 centi, bet 2022.gadā vidējā cena par 1 kwh pieauga līdz 0.255 centiem. 2224- 2022.gadā palielināts tarifs sadzīves atkritumu izvešanai (2021.gadā 14.24 par m3, no 01/2022- 06/2022 20.04 eiro par m3, no 07.2022. 20.79 eiro par m3). 2022.gadā pieaudzis biomateriāls (kremācijai) par 90 kg - saistīts ar operāciju apjoma palielināšanos mazinoties Covid19 ierobežojumiem.</t>
  </si>
  <si>
    <t xml:space="preserve">2022.gadā salīdzinot ar 2021.gadu vērojams izdevumu pieaugums transporta pakalpojumiem. 2022.gadā pieauga izdevumi piegāžu izmaksām (papildus izmaksas par sašķidrinātās gāzes piegādi), kā arī izmaksas par taksometru pakalpojumu izmantošanu, lai nodrošinātu darbinieku nokļūšanu uz slimnīcu ārkārtas izsaukuma gadījumā. </t>
  </si>
  <si>
    <t>Salīdzinot ar 2021.gadu faktiskā izpilde ir palielinājusies, jo 2022.gadā mazinoties Covid19 izplatībai, medicīnas personāls ir atsācis apmeklēt kursus un seminārus kvalifikācijas celšanai, kas pandēmijas laikā bija atcelti.</t>
  </si>
  <si>
    <t>Izdevumi salīdzinot ar pagājušo gadu ir pieauguši - izdevumi par inkasācijas nodrošināšanu 10.42 %, savukārt banku komisijas maksas par 10.10% - no 2022.gada janvāra slimnīcā ieviesta e-komerija, kur par attālinātu ārsta konsultāciju var norēķināties caur banku. Līdz ar to SEB bankā atvērts jauns konts, kur tāpat, kā citos kontos ir jāmaksa komisijas maksa par darbībām kontā un konta uzturēšanu.</t>
  </si>
  <si>
    <t>2022. gadā pieauguši izdevumi pārējiem neklasificētajiem pakalpojumiem. 2022.gadā izdevumi palielinājušies veļas mazgāšanai, pārējiem medicīnas pakalpojumiem (analīzes, izmeklējumi, asins grupu testi), izdevumi rezidentu apmācībai (2021.gadā 11133.85 eiro, 2022.gadā 13976.44 eiro), izdevumi apsardzes pakalpojumiem, izdevumi citiem vadīšanas un administrācijas izdevumiem. 2022.gadā tika saņemtas revīzijas un vadības konsultācijas par grāmatvedības politikas izstrādāšanu -2800 eiro, un konsultācija par nekustamā īpašuma izvērtēšanu 585 eiro. 2022.gadā saņemti atlases firmas pakalpojumi (valdes locekļa amatam) 7400 eiro apmērā, kā arī veikts elektroaudits, lai sakārtotu energoefektivitāti slimnīcā - 9075 eiro.</t>
  </si>
  <si>
    <t>2241 - 2022.gadā līdzekļu taupības nolūkos un iespēju robežās remondarbus veica Saimniecības daļas darbinieki. 2022. gadā netika veikti remontdarbi piesaistot būvniecības uzņemumus.(2021.gadā tika veikti telpu remondarbi Aptiekā un Administrācijas ēkā, remondarbi ambulatorajā nodaļā, gardeborbes remonts Duntes 22 -k-3). 2242 - 2022.gadā izpilde ir lielāka, jo a/m Škoda 2022.gadā tika izieta tehniskā apskate un apmaksāti nodokļi par 2 gadiem.  2243 - 2022.gadā palielinājušies pārējie izdevumi saimniecisko iekārtu tehnikajai apkopei,remontam - 2022.gadā veikta ventilācijas sistēmu gaisa vadu tīrīšana( 20503.62 eiro apmērā).  2244 - 2022.gadā palielinājušies izdevumi nekustamā īpašuma uzturēšanai: izmaksas pieagušas darba aizsardzības sistēmas uzturēšanai, deratizācijas pakalpojumiem.  2247 - apdrošināšanas izdevumiem pieagušas izmaksas(Kasko izmaksas pieaugušas par 65 eiro, OCTAS par 51 eiro, nekustamā īpašum nodoklis par 925 eiro).</t>
  </si>
  <si>
    <t>2264 - 2022.gadā pieauguši izdevumi iekārtu, inventārā nomai. Nomas izdevumi palielinājušies par gāzes balonu konteinera nomu, paklāju un higienas iekārtu nomu, par ūdens iekārtu nomu. 2269 - 2022.gadā noma iekārtām ir samazinājusies. No Arbor Medical Korporācija SIA vairs netiek nomāta ultrasonogrāfijas iekārtas Affiniti, jo slimīca 09.06.2021. iegādājusies savu.</t>
  </si>
  <si>
    <t>2022.gadā darbiniekiem tika organizētas apmācības datu aizsardzībā - kopējās izmaksas 4440 eiro. 2021.gadā par datu aizsardzību tika iztērēti 5133.75 eiro. 2022.gadā  tika piesaistīta Zvērināta advokāta biroja Notus palīdzība, lietā par līgumsoda un zaudējumu piedziņu, kas izmaksāja 1056  eiro.</t>
  </si>
  <si>
    <t>2022.gadā  pabeigto lietu skaits piedziņas procesā ir palielinājies. 2021. gadā  698 lietas, savukārt 2022.gadā 859 lietas.</t>
  </si>
  <si>
    <t xml:space="preserve"> 2022.gadā izdevumi par biroja precēm ir krietni lielāki salīdzinot ar 2021.gadu. Izdevumi  palielinājušies gan par veidlapu iegādi (medicīnas procesa nodrošināšani - 3890 eiro) un saimniecības materiāliem, kancelejas precēm - 20176.06 eiro. Salidzinoši ar iepriekšējā gada pasūtījumiem, kancelejas precēm pieagušas cenas, piemēram, papīram. 2021.gadā cena par A4 formāta papīra iepakojumu bija 2.35 eiro, 2022.gadā cena par papīra iepakojumu sasniegusi 3.70 eiro. 2022.gadā pieprasījums pēc indivuduālās aizsardzības līdzekļiem ir mazāks, jo valstī mazinājusies Covid19 izplatība un ierobežojumi.</t>
  </si>
  <si>
    <t>2021.gadā patērēti 1279.23 litri, savukārt 2022.gadā 1520.24 litri. 2022.gadā pasūtītos materiālus no veikaliem cenšamies izņemt paši, lai operatīvāk orgazinētu dažādus darbus slimnīcā. (Piedāde ar kurjēru bieži vien ir jāgaida vairākas dienas, kas kavē plānotos darbus).</t>
  </si>
  <si>
    <t>2022.gadā pieaudzis akūtu pacientu skaits, kuriem sniegta neatliekama palīdzība.</t>
  </si>
  <si>
    <t>2022.gadā asins komponenti no Valsts Asinsdonora centra izlietoti mazāk, kā 2021.gada attiecīgajā periodā, atkarīgs no ārstējamo pacientu sarežģītības pakāpes.</t>
  </si>
  <si>
    <t xml:space="preserve">  2022.gadā mazinoties Covid19 ietekmei uz pacientu aprūpi palielinājies pacientu skaits, kuriem sniegta medicīniskā palīdzība, līdz ar to pieaguši izdevumi medicīnas precēm un implantiem.</t>
  </si>
  <si>
    <t>2022. gadā  izpilde ir lielāka, jo daudzi remontdarbi tiek veikti pašu spēkiem. 2022.gadā vērojams cenu pieagums materiāliem un izejvielām.</t>
  </si>
  <si>
    <t>Salīdzinot ar 2021.gadu izdevumi mazvērtīgajam inventārām samazinājušies. Inventāra iegāde/ nomaiņa tiek veikta nepieciešāmības gadījumā, izvērtējot iesniegumus, par nepieciešamību. Salīdzinot ar 2021.gada porcijas cena 2022.gadā ir palielināta divas reizes (2021.gadā parastā porcija maksāja 3.70, savukār 2022.gadā 4.07, bet no 01.07.2022. 5.48)</t>
  </si>
  <si>
    <t xml:space="preserve"> 2512-Pievienotā vērtības nodokļa izmaiņas: no 12% un 21%. 2515 - no 04.2022. dabas resursu nodoklis vairs netiek aprēķināts - slimnīcā vairs netiek izmantota gāzes apkure.   2518 - uzņēmējdarbības riska nodeva 2022.gadā ir mazāka nekā 2021.gada attiecīgajā periodā - aprēķināto riska nodevu ietekmē darbinieku mainība.</t>
  </si>
  <si>
    <t>2022.gadā atjaunotas un pagarinātas licences, kas būtiskas slimnīcas darba nodrošinānai. Salīdzinot ar 2021.gadu 2022.gadā samazinājusies nemateriālo ieguldījumu uzskaites vērtības kopsumma (saistīts ar licenču/programmu  nolietojuma aprēķina perioda beigšanos, un jaunu licenču/programmu iegādi).</t>
  </si>
  <si>
    <t>2022. gadā palielinājies aprēķinātais nolietojums pamatlīdzekļiem, jo laika posmā no 2021.gada iegādāti pamatlīdzekļi gan projektu ietvaros, gan no slimnīcas līdzekļiem, proporciāli palielinot aprēķinato nolietojumu. (2022.gadā iegādāti pamatlīdzekļi 983384.87 eiro apmērā - pamatlīdzekļu iegādei Covid19 ietvaros izlietoti 95187.07 eiro, operāciju zāles atjaunošanai izlietoti 267094.04 eiro).</t>
  </si>
  <si>
    <t xml:space="preserve"> 2022. gadā soda naudās pacienti ir samaksājuši par 6 eiro vairāk nekā iepriekšējā gadā.</t>
  </si>
  <si>
    <t>2022.gadā no janvāra līdz jūnijam darbiniekiem, kuri strādāja paaustināta riska apstākļos ar Covid19 pacientiem, saskaņā ar slimīcas atskaiti, kompensēti izdevumi piemaksu nodrošināšanai darbiniekiem.</t>
  </si>
  <si>
    <t>Norakstīto pamatlīdzekļu atlikusī vērtība 2022.gadā samazinājusies likvidētajiem pamatlīdzekļiem - 2021.gadā no kopējās summas tie bija 5.83%, savukārt 2022.gadā likvidēto pamatlīdzekļu atlikusī vērtība skatoties pret kopsummu ir 4.48%. 8700- Salīdzinot ar 2021.gadu, samazinājušās neizmantoto atvaļinājumus dienas uz 31.decembri - 2021.gadā neizmantotās atvaļinājuma dienas slimnīcas personālam 454.65, savukārt 2022.gadā 250.99. 8600-  2022.gadā  izdevumi debitoru parādu norakstīšanai ir samazinājušies. 8900 - pozīcijā uzskaitīts 2022.gada izmaksas(piemaksas, atvaļinājumu rezerve) par darbu paaugstināta riska uz slodze apstākļos (Covid19). 8800 - Salīdzinot ar 2021.gadu 2022.gadā mazāk līdzekļu iztērēti apbedīšanas pabalstiem un naudas balvām, kuras darbiniekiem tiek izmaksātas jubilejās (40, 50 60..utt. gadu jubilejās).</t>
  </si>
  <si>
    <t>Plāns sastādīts ņemot vērā iepriekšējā gada izdevumus algām. 2021.gada decembra alga ir izmaksāta decembrī, savukārt sociālā nodokļa maksājumi par decembri pārskaitīti 2022.gada janvārī.</t>
  </si>
  <si>
    <t>2022. gada  izdevumi mācībām tika plānoti mazāki, ņemot vērā iepriekšējā gada izdevumus, taču mazinoties Covid 19 izplatībai un ierobežojumiem, darbinieki atsāk apmeklēt kursus.</t>
  </si>
  <si>
    <t>2022.gadā pakalpojumu cenas palielinājušas, bet izpilde atkarīga no pakalpojumu atmaksas  datuma. Piemēram 2022.gada decembra siltuma rēķins apmaksāts 2023.gada janvāri. (115506.73 eiro apmērā).</t>
  </si>
  <si>
    <t>2022.gadā  faktiski līdzekļi ir iztērēti mazāk nekā plānots gada sākumā. Samazināti izdevumi krājumu iegādei par, tai skaitā izdevumi indivudiālās aizsardzības līdzekļiem.</t>
  </si>
  <si>
    <t xml:space="preserve"> No 2021.gada jūlija mainīta likme PVN no 12% uz 21%.</t>
  </si>
  <si>
    <t xml:space="preserve">2022. gadā  naudas atlikums uz perioda beigām budžeta līdzekļiem Nacionālā veselības dienesta projektam plānots izlietot pamatlīdzekļu iegādei, ievērojot projekta izpildes termiņus. </t>
  </si>
  <si>
    <t>Salīdzinot ar 2021.gadu  izdevumi par kursiem un semināriem ir palielinājušies, jo mazinoties Covid 19 izplatībai un ierobežojumiem slimnīcas darbinieki atsāka apmeklēt kursus, kuri tika atcelti vai nenotika slimības izplatības dēļ.</t>
  </si>
  <si>
    <t>2022.gadā  faktiski līdzekļi ir iztērēti mazāk. Samazināti izdevumi krājumu iegādei par, tai skaitā izdevumi indivudiālās aizsardzības līdzekļiem.</t>
  </si>
  <si>
    <t>2021.gadā Covid izplatības dēļ bija ierobežotas iespējas sniegt plānveida medicīnas pakalpojumus 2022. gadā ir pieaudzis pacientu skaits ar akūtām traumām.</t>
  </si>
  <si>
    <t>2021.gadā iegātās licences datu loģistikas sistēmai Sypanpsis un EGK datu arhivācijas sistēmas programmnodrošinājums, savukārt 2022.gadā iegādāta licence Belimed iekārtu ciklu parametru uzskaites programmai.</t>
  </si>
  <si>
    <t>Salīdzinot ar 2021.gadu 2022.gadā nav bijuši Ieņēmumi no akciju un obligāciju emisijas vai kapitāla līdzdalības daļu ieguldījumiem</t>
  </si>
  <si>
    <t>2022. gadā ieskaitīts pēdējais  maksājuma no CFLA par projektu Nr. 9.3.2.0/17/I/002 "Kvalitatīva veselības aprūpes pakalpojumu pieejamības uzlabošana, attīstot veselības aprūpes infrastruktūru". 2021. gadā maksājumu nebija.</t>
  </si>
  <si>
    <t>2022.gadā naudas līdzekļu atlikums uz gada beigām ir salīdzinoši mazāks kā 2021. gada janvārī -septembrī  - kreditoriem, kuriem ir apmaksas termiņs  veikti pārskaitījumi, tika ieguldīti līdzekļi dārgajos pamatlīdzekļos operāciju zāles izveidei. Valsts Kases projektu kontā ir ieskaitīta atlikusī daļa no ERAF projekta līdzekļiem - 168152 eiro.</t>
  </si>
  <si>
    <t>2022. gadā valsts apmaksātiem veselības aprūpes pakalpojumiem plāns pārpildīts par 1004768 eiro (stacionāriem pakalpojumiem izpilde lielāka par 1062341 eiro, ambulatorajiem pakalpojumiem izpilde mazāka par 57 573 eiro). Ieņēmumiem par rezidentu apmācību plāns pārpildīts par 70678 eiro, ieņēmumiem no bezmaksas saņemtajiem medikamentiem plāns pārpildīts par 55507 eiro, ieņēmumiem no ambulatorajiem un stacionārajiem maksas ieņēmumi  plāns pārpaildīts par 115598 eiro.</t>
  </si>
  <si>
    <t>2022. gada janvārī - decembrī, salīdzinoši ar 2021.gada attiecīgo periodu pieaugums Nacionālā veselības dienesta apmaksātajiem pakalpojumiem par stacionārās un ambulatorās palīdzības sniegšanu par 1814383 eiro. Ieņēmumi par maksas pakalpojumiem lielāki par 241981 eiro. Ieņēmumiem par rezidentu apmācību un bezmaksas saņemtajiem medikamentiem lielāki par 175000 eiro</t>
  </si>
  <si>
    <t>2022.gada janvārī - decembrī pārējiem kopējiem ieņēmumiem ieplānots mazāk (ieņēmumi nomas maksai, ieņēmumi investīciju projektiem, kā izpildē.</t>
  </si>
  <si>
    <t xml:space="preserve">2022.gada janvārī - decembrī salīdzinoši ar 2021.gada attiecīgo periodu ir palielinājušies pārējie saimnieciskās darbības ieņēmumi pa sekojošām lielākajām pozīcijām:  investīciju ieņēmumiem par 28972 eiro,  ieņēmumiem par nomu  par 67998 eiro, pārējiem ieņēmumiem  palielinājums par 6051 eiro. </t>
  </si>
  <si>
    <t>2022.gada janvāra - decembra plāns kopējiem izdevumiem pārpildīts par 217667 eiro: pozīcijas - apsardzes pakalpojumi, atkritumu izvešanai, programmatūru uzturēšanai, teritorijas uzkopšanai, telpu uzturēšanai, nomas pakalpojumiem, saimniecisko iekārtu tehniskai apkopei, darbinieku apmācībām.</t>
  </si>
  <si>
    <t>2022.gada janvārī- decembrī procentu ieņēmumos ir parādnieku samaksātās soda nauda 63 eiro apmērā salīdzinoši ar 2021.gada attiecīgo periodu - 57 eiro.</t>
  </si>
  <si>
    <t xml:space="preserve">2022. gada janvārī - decembrī nav plānā intelektuālo īpašumu. </t>
  </si>
  <si>
    <t>2022. gada janvārī - decembrī salīdzinoši ar 2021.gada attiecīgio periodu ieguldīti līdzekļi datorprogrammā Belimed - ielārtu ciklu parametru uzskaites datorprogramma - 1 gb</t>
  </si>
  <si>
    <t>2022.gada janvārī - decembrī plānots ieguldījums 200000 eiro nepabeigto un veidojošo objektu izmaksās  - naudas plūsma lielāka par 65505 eiro.</t>
  </si>
  <si>
    <t>2022. gada janvārī - decembrī salīdzinoši ar 2021.gada attiecīgio periodu ieguldījumi līdzekļi nepabeigtā celtniecībā  ir lielāki 2021. gada attiecīgajā periodā bija aktīvs ERAF projekts -  3. korpusa rekonstrukcija - atjaunošanas un pārbūves darbi (Lagron, SIA, Marčuks SIA), 2022. gada attiecīgajā periodā ir aktīvs kopsummā mazāks NVD projekts - 5.operāciju bloka pārbūve (Guliver Construction PS, L4 &amp; Mūsu Uzraugs, PS)</t>
  </si>
  <si>
    <t xml:space="preserve">2022.gada janvārī - decemnbrī  tehnoloģiskajām iekārtām - medicīnas iekārtām plāns nav izpildīts -  no pozīcijām mobilās ķirurģiskās C-loka iekārtām, operāciju galda pufi, medicīniskām ierīcēm un mēbelēm.  2022. gadā nebija plānotas pārējās tehnoloģiskās iekārtas. 2022. gada attiecīgajā periodā esam plānojuši saimniecības pamatlīdzekļus (izpilde par 48220 mazāka kā plānota) un datortehniku (izpilde par 25663 eiro mazāka kā plānota), kuri 2022.gadā nav iegādāti. </t>
  </si>
  <si>
    <t>2022.gada janvārī - decembrī  kustamiem īpašumiem salīdzinoši ar 2021.gada attiecīgo periodu, tehnoloģiskajām iekārtām - medicīnas un laboratorijas iekārtām samazinājums iegādēm par 76113 eiro, palielinājums pārējām tehnoloģiskām medicīnas iekārtām par 66354 eiro, saimniecības pamatlīdzekļiem (kondicionieriem, veļas mašīnai, krēsliem , statīviem, galdiem, skapjiem)  palielinājums par 54764 eiro,  datortehnikai (datoriem, printeriem) samazinājums  par 31270 eiro.</t>
  </si>
  <si>
    <t xml:space="preserve">Mazgāšanas-termiskās dezinfekcijas iekārta </t>
  </si>
  <si>
    <t>Vertikālās plūsmas iekarta</t>
  </si>
  <si>
    <t>Pacientu monitoru piegāde - darba stacija</t>
  </si>
  <si>
    <t>Ugunsdrošas evakuācijas durvis</t>
  </si>
  <si>
    <t>Pushermētiskās bīdāmās automātiskās durvis</t>
  </si>
  <si>
    <t>Pushermētiskās veramās automātiskās durvis</t>
  </si>
  <si>
    <t>Gāzu kontroles un trauksmes panelis,Kolektora skapis</t>
  </si>
  <si>
    <t>Piekabe-kravas kaste TIKI CP300-DLH, VIN Nr.V6AC2104100006768</t>
  </si>
  <si>
    <t>Degvielas tvertne Kingspan Truskmaster 900L,S/N 01 346501</t>
  </si>
  <si>
    <t>Akumulatora perforators MILWAUKEE M18 ONEFHPX-552X, S/N 002734</t>
  </si>
  <si>
    <t>Elektrosadales skapis</t>
  </si>
  <si>
    <t>Masāžas gulta funkcionālā</t>
  </si>
  <si>
    <t>Skeneris</t>
  </si>
  <si>
    <t>2022.gada janvārī - decembrī izpilde, salīdzinoši ar 2021. gada attiecīgo periodu - palielinājums izdevumiem atlīdzibai par 417767 eiro, komunālajiem pakapojumiem - elektroenerģijai par 209764 eiro, gāzei - par 256799, ūdens un kanalizācijas izdevumiem par 4657 eiro,  nodokļiem - pievienotais vērtības nodoklis par 479559 eiro, slimnieku ēdināšanai par 63792 eiro, medikamentiem par  84081 eiro, endoprotēzēm par 612297 eiro, medicīnas palīgmateriāliem par 141202 eiro, pamatlīdzekļu nolietojumam par 37301 eiro; samazinājums izdevumiem - osteosintēzes un mugurkaula implantiem par 185243 eiro, ēku remontiem par 120451 eiro, veļai par 69784 eiro, bezmaksas asins preparātiem par 69709 eiro.</t>
  </si>
  <si>
    <t xml:space="preserve">2022.gada janvārī - decembrī lielāka izpilde kā 2021. gada attiecīgajā periodā ir sekojošām lielākajām pozīcijām - saimniecisko iekārtu tehniskā apkope un remontdarbiem par 46588 eiro (2022. gada aprīlī apkures pakalpojumus pārņēma Rīgas siltums AS, kurš veica siltumapgādes sistēmas pieslēgšanu siltumtīkliem - izmaksas 31450 eiro. Atkritumu izvešanas pakalpojumiem (Eco Baltijas vide SIA, BAO SIA, Rīgas kremācijas centrs SIA)  lielākas izmaksas par 21020 eiro - remontdarbu celtniecības atkritumu izvešana, kā 2021. gada atiecīgajā periodā, telpu izturēšanai un iekārtu nomai palielinājums par 16635 eiro, pārējām izmaksām palielinājums par 15436 eiro. </t>
  </si>
  <si>
    <t>2022.gada janvārī - decembrī plāns pašu kapitālā neizpildās - pārskata periods 2022. gads noslēdzies ar peļņu 191758 eiro, slīdzinoši ar plānu 102089 eiro.</t>
  </si>
  <si>
    <t>2022.gada janvāra-decembra peļņas plāns par iepriekšejo periodu neprecīzs.</t>
  </si>
  <si>
    <t>2022.gada  janvārī - decembrī naudas līdzekļiem atlikums plānots lielāks - saistīts ar maksājumiem NVD projekta ietvaros.</t>
  </si>
  <si>
    <t>2022.gada janvārī - decembrī naudas līdzekļu atlikums uz perioda beigām ir salīdzinoši mazāks kā 2021. gada janvārī -decembrī. - Kreditoriem maksā , pamatojoties uz apmaksas termiņiem , veikti pārskaitījumi ieguldot līdzekļus dārgajos pamatlīdzekļos. operāciju zāles izveidei.</t>
  </si>
  <si>
    <t>2022.gada janvāra-decembra peļņas plāns neprecīzs. -  ieņēmumi  valsts apmaksātajiem veselības aprūpes pakalpojumiem lielāki un  izdevumi maksimāli, iespēju robežās samazināti.</t>
  </si>
  <si>
    <t>2022.gada janvārī - decembrī  ir mainījusies  ieņēmumu un izdevumu posteņu proporcija -ieņēmumi 2022. gada attiecīgajā periodā palielinājušies par 9.25% eiro, bet izdevumi palielinājušies  par 7.67 % eiro, salīdzinoši ar 2021. gada janvāri - decembri.</t>
  </si>
  <si>
    <t>2022. gada janvāra- decembra plāns parādiem piegādātājiem (garantijas summa, apmaksai 60 mēnešus pēc objekta nodošanas) sastādīts pamatojoties uz attiecīgā 2021. gada izpildi. 2022 gada attiecīgajā periodā palielinājums par 17309 eiro - izpildītie darbi lielāks apjoms.</t>
  </si>
  <si>
    <t xml:space="preserve">2022.gada janvārī - decembra nākamo periodu ieņēmumi ir samazinājušies, salīdzinoši ar 2021.gada janvāri - decembri - 2022.gada janvāra - decembra parādi piegādātājiem (LAGRON SIA, Guliver Construction, PS) kā garantijas summa projektu izdevumos ir palielinājies, salīdzinoši ar 2021.gada attiecīgo periodu. </t>
  </si>
  <si>
    <t>2022.gada janvārī -decembrī plānots par maz krājumiem, pamatojoties uz esošo situāciju - militāro agresiju pret Ukrainu 2022. gadā. ir veidoti papildus krājumi , lai būtu nepārtrauktība kritisko pakalpojumu sniegšanā.  Avana maksājumi ir plānoti saskaņā ar 2021. gada izpildi.</t>
  </si>
  <si>
    <t>2022.gada janvārī - decembrī  ir palielinājums avansa maksājumiem par precēm, izejvielām, pamatmateriāliem un materiāliem, palielinājums krājumiem - tika veidoti zāļu un medicīnisko preču krājumi vismaz pāris mēnešus uz priekšu,  nodrošinot Slimnīcas darbības nepārtaruktību,  salīdzinoši ar 2021.gada attiecīgo periodu.</t>
  </si>
  <si>
    <t>2022.gada janvāra - decembra plāns  licencēm plānots, pamatojoties uz 2021.gada izpildi, jo ir iegādāta licence datu loģistikai un EKG datu arhivācijas sistēmas programmnodrošinājums un Belimed iekārtu ciklu parametru uzskaites datoprogramma, pamatā licences u.c. nemateriālie ieguldījumi tiek nomāti.</t>
  </si>
  <si>
    <t>2022.gada janvārī - decembrī nemateriālie ieguldījumi bilancē ir palielinājums ar attiecīgo periodu 2021. gadā, jo ir iegādāta licence datu loģistikai un EKG datu arhivācijas sistēmas programmnodrošinājums un Belimed iekārtu ciklu parametru uzskaites datoprogramma, pamatā licences u.c. nemateriālie ieguldījumi tiek nomāti.</t>
  </si>
  <si>
    <t>Samazinoties Covid 19 ierobežojumiem atsākusies plānveida operāciju sniegšana. 2022. gada janvāra - decembra plāns ir neprecīzs - parādiem piegādātājiem, nodokļiem un saņemtiem avansiem no fiziskām personām un pārējiem kreditoriem (darba algas izmaksas plānā paredzētas lielākas).</t>
  </si>
  <si>
    <r>
      <t>2022.gada janvārī - decembrī īstermiņa kreditoriem ir palielinājums salīdzinoši ar 2021. gada attiecī</t>
    </r>
    <r>
      <rPr>
        <b/>
        <sz val="14"/>
        <rFont val="Times New Roman"/>
        <family val="1"/>
      </rPr>
      <t>g</t>
    </r>
    <r>
      <rPr>
        <sz val="14"/>
        <rFont val="Times New Roman"/>
        <family val="1"/>
      </rPr>
      <t>o periodu - nodokļiem  2022. gada attiecīgajā periodā pievienotā vērtības nodokļa likmes pieaugumam starpība,  parādi piegādātājiem - uz komunālo cenu pieauguma pamata, cenu kāpums precēm un pakalpojumiem, uzkrātām saistībām 2022. gada attiecīgajā periodā, pamatojoties uz atlīdzības pieaugumu, pieaug neizmantotie atvaļinājumi, nākamo periodu ieņēmumiem - projektu ietvaros iegādātiem pamatlīdzekļiem nolietojuma pieaugums, pieaugums no fiziskām personām saņemtā priekšapmaksa par operācijām, salīdzinoši ar attiecīgā 2021. gada periodu.</t>
    </r>
  </si>
  <si>
    <t>2022.gad janvārī - decembrī pamatlīdzekļu izveidošanai,  celtniecībai ir neprecīzs plāns -   Nacionālā veselības dienesta projekta ietvaros jaunas endoprotezēšanas operāciju zāles izveidei izlietoti vairāk naudas līdzekļi kā plānots. Uz 2022. gada 8. decembri objekts tika nodots ekspluatācijā. 2022.gada janvārī - decembrī lielākā pamatlīdzekļu iegāde: ultrasonogrāfijas iekārta - 1 gb, veļas mazgājamā mašīna mopiem - 1 gb, perfusoru, infusomatu - 24 gb iegāde, mākslīgo plaušu ventilācijas iekārtu - 2 gb iegāde, dezinfekcijas iekārtu virsmām - 2 gb iegāde.</t>
  </si>
  <si>
    <t>2022.gada janvārī - decembrī  palielinājušies ilgtermiņa ieguldījumi, salīdzinoši ar 2021.gada attiecīgo periodu - 2021. gada janvārī - decembrī  aktīvi tika ieguldīti līdzekļi ERAF projektā nepabeigtā celtniecībā. Uz 01.01.2022. projekts ir noslēdzies, uz 2022. gada 8. decembri noslēdzies NACIONĀLĀ VESELĪBAS DIENESTA projekts un tāpēc ir palielinājums  pamatlīdzekļos - ēkas un iegādāti pamatlīdzekļi un iekārtas operāciju zāles izveidei, sekojoši samazinājums pamatlīdzekļu izveidosanā.</t>
  </si>
  <si>
    <t>2022. gada janvārī - decembrī plāns debitoriem sastādīts mazāks nekā 2021.gada I-IV cet.  - Pircēju, pasūtītāju parādi pieaguši par 16%, salīdzinoši ar 2021. gada attiecīgo periodu.</t>
  </si>
  <si>
    <t>2022. gada janvārī - dectembrī palielinājums debitoriem - Pircēju, pasūtītāju parādiem par 748110 eiro, salīdzinoši ar 2021. gada attiecīgo periodu, palielinājums Nacionālais veselības dienests stacionārajiem pakalpojumiem par 288493 eiro, Nacionālais veselības dienests par ambulatorajiem pakalpojumiem palielinājums par 76728 eiro.</t>
  </si>
  <si>
    <t>Rimšs Pēteris</t>
  </si>
  <si>
    <t>Besedin Yury</t>
  </si>
  <si>
    <t>Zīle Jānis</t>
  </si>
  <si>
    <t>Hofmanis Einārs</t>
  </si>
  <si>
    <t>Pārējie - 23gb</t>
  </si>
  <si>
    <t>RĪGAS SILTUMS, AS</t>
  </si>
  <si>
    <t>Pārējie - 57 gb</t>
  </si>
  <si>
    <t>Pārējie - 14 gb</t>
  </si>
  <si>
    <t>Nacionālais veselības akreditācijas birojs VA</t>
  </si>
  <si>
    <t>Infotrust SIA</t>
  </si>
  <si>
    <t>Slimību profilakses centrs</t>
  </si>
  <si>
    <t>Pārējie - 6389gb</t>
  </si>
  <si>
    <t>Nomas pakalpojumi</t>
  </si>
  <si>
    <t>Uzkrājumi veidoti EUR 186416</t>
  </si>
  <si>
    <t>Aklreditācijas novertējums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</si>
</sst>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 numFmtId="168" formatCode="#,##0\ _€"/>
  </numFmts>
  <fonts count="88"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u/>
      <sz val="14"/>
      <name val="Times New Roman"/>
      <family val="1"/>
    </font>
    <font>
      <b/>
      <sz val="14"/>
      <name val="Times New Roman"/>
      <family val="1"/>
      <charset val="186"/>
    </font>
    <font>
      <sz val="14"/>
      <name val="Times New Roman"/>
      <family val="1"/>
      <charset val="186"/>
    </font>
    <font>
      <vertAlign val="superscript"/>
      <sz val="14"/>
      <name val="Times New Roman"/>
      <family val="1"/>
    </font>
    <font>
      <b/>
      <sz val="12"/>
      <name val="Times New Roman"/>
      <family val="1"/>
    </font>
    <font>
      <sz val="12"/>
      <name val="Times New Roman"/>
      <family val="1"/>
    </font>
    <font>
      <b/>
      <sz val="10"/>
      <name val="Times New Roman"/>
      <family val="1"/>
    </font>
    <font>
      <sz val="10"/>
      <name val="Times New Roman"/>
      <family val="1"/>
    </font>
    <font>
      <vertAlign val="superscript"/>
      <sz val="10"/>
      <name val="Times New Roman"/>
      <family val="1"/>
    </font>
    <font>
      <i/>
      <sz val="10"/>
      <name val="Times New Roman"/>
      <family val="1"/>
    </font>
    <font>
      <sz val="14"/>
      <color rgb="FF000000"/>
      <name val="Times New Roman"/>
      <family val="1"/>
      <charset val="186"/>
    </font>
    <font>
      <i/>
      <sz val="12"/>
      <name val="Times New Roman"/>
      <family val="1"/>
    </font>
    <font>
      <vertAlign val="superscript"/>
      <sz val="12"/>
      <name val="Times New Roman"/>
      <family val="1"/>
    </font>
    <font>
      <sz val="12"/>
      <color rgb="FFFF0000"/>
      <name val="Times New Roman"/>
      <family val="1"/>
    </font>
    <font>
      <b/>
      <i/>
      <sz val="12"/>
      <name val="Times New Roman"/>
      <family val="1"/>
    </font>
    <font>
      <b/>
      <sz val="12"/>
      <color indexed="9"/>
      <name val="Times New Roman"/>
      <family val="1"/>
    </font>
    <font>
      <b/>
      <u/>
      <sz val="12"/>
      <name val="Times New Roman"/>
      <family val="1"/>
    </font>
    <font>
      <b/>
      <i/>
      <sz val="14"/>
      <name val="Times New Roman"/>
      <family val="1"/>
      <charset val="186"/>
    </font>
    <font>
      <i/>
      <sz val="14"/>
      <color rgb="FFFF0000"/>
      <name val="Times New Roman"/>
      <family val="1"/>
    </font>
    <font>
      <b/>
      <sz val="10"/>
      <color rgb="FFFF0000"/>
      <name val="Times New Roman"/>
      <family val="1"/>
    </font>
    <font>
      <sz val="10"/>
      <color rgb="FFFF0000"/>
      <name val="Times New Roman"/>
      <family val="1"/>
    </font>
    <font>
      <b/>
      <sz val="12"/>
      <color rgb="FFFF0000"/>
      <name val="Times New Roman"/>
      <family val="1"/>
    </font>
    <font>
      <sz val="12"/>
      <name val="Arial"/>
      <family val="2"/>
      <charset val="186"/>
    </font>
    <font>
      <b/>
      <sz val="12"/>
      <name val="Times New Roman"/>
      <family val="1"/>
      <charset val="186"/>
    </font>
    <font>
      <sz val="10"/>
      <name val="Times New Roman"/>
      <family val="1"/>
      <charset val="186"/>
    </font>
    <font>
      <sz val="13"/>
      <name val="Times New Roman"/>
      <family val="1"/>
      <charset val="186"/>
    </font>
    <font>
      <i/>
      <sz val="13"/>
      <name val="Times New Roman"/>
      <family val="1"/>
      <charset val="186"/>
    </font>
    <font>
      <vertAlign val="superscript"/>
      <sz val="13"/>
      <name val="Times New Roman"/>
      <family val="1"/>
      <charset val="186"/>
    </font>
    <font>
      <b/>
      <sz val="13"/>
      <name val="Times New Roman"/>
      <family val="1"/>
      <charset val="186"/>
    </font>
    <font>
      <b/>
      <i/>
      <sz val="13"/>
      <name val="Times New Roman"/>
      <family val="1"/>
      <charset val="186"/>
    </font>
    <font>
      <sz val="13"/>
      <color rgb="FFFF0000"/>
      <name val="Times New Roman"/>
      <family val="1"/>
      <charset val="186"/>
    </font>
    <font>
      <b/>
      <sz val="13"/>
      <color rgb="FFFF0000"/>
      <name val="Times New Roman"/>
      <family val="1"/>
      <charset val="186"/>
    </font>
    <font>
      <sz val="12"/>
      <color theme="1"/>
      <name val="Times New Roman"/>
      <family val="1"/>
    </font>
    <font>
      <b/>
      <sz val="12"/>
      <color theme="1"/>
      <name val="Times New Roman"/>
      <family val="1"/>
    </font>
    <font>
      <b/>
      <u/>
      <sz val="12"/>
      <color theme="1"/>
      <name val="Times New Roman"/>
      <family val="1"/>
    </font>
    <font>
      <sz val="13"/>
      <color theme="1"/>
      <name val="Times New Roman"/>
      <family val="1"/>
      <charset val="186"/>
    </font>
    <font>
      <i/>
      <sz val="13"/>
      <color theme="1"/>
      <name val="Times New Roman"/>
      <family val="1"/>
      <charset val="186"/>
    </font>
    <font>
      <b/>
      <sz val="13"/>
      <color theme="1"/>
      <name val="Times New Roman"/>
      <family val="1"/>
      <charset val="186"/>
    </font>
    <font>
      <b/>
      <i/>
      <sz val="13"/>
      <color theme="1"/>
      <name val="Times New Roman"/>
      <family val="1"/>
      <charset val="186"/>
    </font>
    <font>
      <b/>
      <vertAlign val="superscript"/>
      <sz val="13"/>
      <color theme="1"/>
      <name val="Times New Roman"/>
      <family val="1"/>
      <charset val="186"/>
    </font>
    <font>
      <sz val="10"/>
      <color rgb="FFFF0000"/>
      <name val="Arial"/>
      <family val="2"/>
      <charset val="186"/>
    </font>
    <font>
      <sz val="8"/>
      <name val="Times New Roman"/>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D9D9D9"/>
        <bgColor rgb="FF000000"/>
      </patternFill>
    </fill>
    <fill>
      <patternFill patternType="solid">
        <fgColor rgb="FFFFFFFF"/>
        <bgColor rgb="FF000000"/>
      </patternFill>
    </fill>
    <fill>
      <patternFill patternType="solid">
        <fgColor theme="0" tint="-0.14999847407452621"/>
        <bgColor rgb="FF000000"/>
      </patternFill>
    </fill>
    <fill>
      <patternFill patternType="solid">
        <fgColor theme="2" tint="-9.9978637043366805E-2"/>
        <bgColor rgb="FF000000"/>
      </patternFill>
    </fill>
    <fill>
      <patternFill patternType="solid">
        <fgColor theme="0" tint="-4.9989318521683403E-2"/>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indexed="64"/>
      </left>
      <right/>
      <top/>
      <bottom style="thin">
        <color indexed="64"/>
      </bottom>
      <diagonal/>
    </border>
    <border>
      <left style="thin">
        <color rgb="FF000000"/>
      </left>
      <right style="thin">
        <color rgb="FF000000"/>
      </right>
      <top/>
      <bottom/>
      <diagonal/>
    </border>
  </borders>
  <cellStyleXfs count="1490">
    <xf numFmtId="0" fontId="0" fillId="0" borderId="0"/>
    <xf numFmtId="0" fontId="8" fillId="0" borderId="0"/>
    <xf numFmtId="0" fontId="8" fillId="0" borderId="0"/>
    <xf numFmtId="0" fontId="7" fillId="0" borderId="0"/>
    <xf numFmtId="0" fontId="6" fillId="0" borderId="0"/>
    <xf numFmtId="0" fontId="8" fillId="0" borderId="0"/>
    <xf numFmtId="0" fontId="8" fillId="0" borderId="0"/>
    <xf numFmtId="0" fontId="5" fillId="0" borderId="0"/>
    <xf numFmtId="0" fontId="4" fillId="0" borderId="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29" fillId="0" borderId="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0"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0"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6"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1"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5" fillId="16" borderId="10"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0" fontId="16" fillId="30" borderId="11" applyNumberFormat="0" applyAlignment="0" applyProtection="0"/>
    <xf numFmtId="41" fontId="8" fillId="0" borderId="0" applyFont="0" applyFill="0" applyBorder="0" applyAlignment="0" applyProtection="0"/>
    <xf numFmtId="165" fontId="12"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19" fillId="0" borderId="12"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20" fillId="0" borderId="14"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21" fillId="0" borderId="16"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17"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2" fillId="16" borderId="10" applyNumberFormat="0" applyAlignment="0" applyProtection="0"/>
    <xf numFmtId="0" fontId="22" fillId="16" borderId="10" applyNumberFormat="0" applyAlignment="0" applyProtection="0"/>
    <xf numFmtId="0" fontId="22" fillId="16" borderId="10" applyNumberFormat="0" applyAlignment="0" applyProtection="0"/>
    <xf numFmtId="0" fontId="22" fillId="16" borderId="10" applyNumberFormat="0" applyAlignment="0" applyProtection="0"/>
    <xf numFmtId="0" fontId="22" fillId="16" borderId="10" applyNumberFormat="0" applyAlignment="0" applyProtection="0"/>
    <xf numFmtId="0" fontId="22" fillId="16" borderId="10" applyNumberFormat="0" applyAlignment="0" applyProtection="0"/>
    <xf numFmtId="0" fontId="22" fillId="10" borderId="10" applyNumberFormat="0" applyAlignment="0" applyProtection="0"/>
    <xf numFmtId="0" fontId="22" fillId="10" borderId="10" applyNumberFormat="0" applyAlignment="0" applyProtection="0"/>
    <xf numFmtId="0" fontId="22" fillId="16" borderId="10" applyNumberFormat="0" applyAlignment="0" applyProtection="0"/>
    <xf numFmtId="0" fontId="22" fillId="16" borderId="10" applyNumberFormat="0" applyAlignment="0" applyProtection="0"/>
    <xf numFmtId="0" fontId="22" fillId="16" borderId="10" applyNumberFormat="0" applyAlignment="0" applyProtection="0"/>
    <xf numFmtId="0" fontId="22" fillId="16" borderId="10" applyNumberFormat="0" applyAlignment="0" applyProtection="0"/>
    <xf numFmtId="0" fontId="22" fillId="16" borderId="10" applyNumberFormat="0" applyAlignment="0" applyProtection="0"/>
    <xf numFmtId="0" fontId="22" fillId="16" borderId="10" applyNumberFormat="0" applyAlignment="0" applyProtection="0"/>
    <xf numFmtId="0" fontId="22" fillId="16" borderId="10" applyNumberFormat="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12"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12" fillId="0" borderId="0"/>
    <xf numFmtId="0" fontId="11" fillId="0" borderId="0"/>
    <xf numFmtId="0" fontId="3"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10" fillId="0" borderId="0"/>
    <xf numFmtId="0" fontId="10" fillId="0" borderId="0"/>
    <xf numFmtId="0" fontId="34" fillId="0" borderId="0"/>
    <xf numFmtId="0" fontId="34" fillId="0" borderId="0"/>
    <xf numFmtId="0" fontId="34" fillId="0" borderId="0"/>
    <xf numFmtId="0" fontId="34" fillId="0" borderId="0"/>
    <xf numFmtId="0" fontId="3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4" fillId="0" borderId="0"/>
    <xf numFmtId="0" fontId="12" fillId="0" borderId="0"/>
    <xf numFmtId="0" fontId="12" fillId="0" borderId="0"/>
    <xf numFmtId="0" fontId="8" fillId="0" borderId="0"/>
    <xf numFmtId="0" fontId="3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12" fillId="0" borderId="0"/>
    <xf numFmtId="0" fontId="8" fillId="0" borderId="0"/>
    <xf numFmtId="0" fontId="8" fillId="0" borderId="0"/>
    <xf numFmtId="0" fontId="3" fillId="0" borderId="0"/>
    <xf numFmtId="0" fontId="3" fillId="0" borderId="0"/>
    <xf numFmtId="0" fontId="12" fillId="0" borderId="0"/>
    <xf numFmtId="0" fontId="8" fillId="0" borderId="0"/>
    <xf numFmtId="0" fontId="8" fillId="0" borderId="0"/>
    <xf numFmtId="0" fontId="8" fillId="0" borderId="0"/>
    <xf numFmtId="0" fontId="8"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xf numFmtId="0" fontId="3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37" fillId="0" borderId="0" applyFont="0" applyFill="0" applyAlignment="0" applyProtection="0"/>
    <xf numFmtId="0" fontId="37" fillId="0" borderId="0" applyFont="0" applyFill="0" applyAlignment="0" applyProtection="0"/>
    <xf numFmtId="0" fontId="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35" fillId="14" borderId="19" applyNumberFormat="0" applyFont="0" applyAlignment="0" applyProtection="0"/>
    <xf numFmtId="0" fontId="3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8" fillId="14" borderId="19" applyNumberFormat="0" applyFon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0" fontId="25" fillId="16" borderId="20"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6"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1"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7" fillId="0" borderId="22"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9" fillId="0" borderId="0"/>
    <xf numFmtId="0" fontId="8" fillId="0" borderId="0"/>
    <xf numFmtId="0" fontId="2" fillId="0" borderId="0"/>
    <xf numFmtId="0" fontId="2" fillId="0" borderId="0"/>
    <xf numFmtId="0" fontId="2" fillId="0" borderId="0"/>
    <xf numFmtId="0" fontId="2" fillId="0" borderId="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8"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cellStyleXfs>
  <cellXfs count="846">
    <xf numFmtId="0" fontId="0" fillId="0" borderId="0" xfId="0"/>
    <xf numFmtId="3" fontId="42" fillId="0" borderId="1" xfId="0" applyNumberFormat="1" applyFont="1" applyBorder="1" applyAlignment="1">
      <alignment horizontal="center" vertical="center" wrapText="1"/>
    </xf>
    <xf numFmtId="3" fontId="42" fillId="3" borderId="1" xfId="0" applyNumberFormat="1" applyFont="1" applyFill="1" applyBorder="1" applyAlignment="1" applyProtection="1">
      <alignment horizontal="right" vertical="center"/>
      <protection locked="0"/>
    </xf>
    <xf numFmtId="3" fontId="42" fillId="0" borderId="1" xfId="0" applyNumberFormat="1" applyFont="1" applyBorder="1" applyAlignment="1" applyProtection="1">
      <alignment horizontal="right" vertical="center"/>
      <protection locked="0"/>
    </xf>
    <xf numFmtId="3" fontId="42" fillId="0" borderId="0" xfId="0" applyNumberFormat="1" applyFont="1" applyAlignment="1">
      <alignment vertical="center"/>
    </xf>
    <xf numFmtId="0" fontId="41" fillId="0" borderId="0" xfId="0" applyFont="1" applyAlignment="1">
      <alignment vertical="center"/>
    </xf>
    <xf numFmtId="3" fontId="42" fillId="3" borderId="1" xfId="6" applyNumberFormat="1" applyFont="1" applyFill="1" applyBorder="1" applyAlignment="1" applyProtection="1">
      <alignment horizontal="right" vertical="center"/>
      <protection locked="0"/>
    </xf>
    <xf numFmtId="3" fontId="44" fillId="5" borderId="1" xfId="0" applyNumberFormat="1" applyFont="1" applyFill="1" applyBorder="1" applyAlignment="1">
      <alignment horizontal="center" vertical="center" wrapText="1"/>
    </xf>
    <xf numFmtId="0" fontId="42" fillId="0" borderId="1" xfId="0" applyFont="1" applyBorder="1" applyAlignment="1">
      <alignment horizontal="center" vertical="center"/>
    </xf>
    <xf numFmtId="0" fontId="42" fillId="0" borderId="0" xfId="0" applyFont="1" applyProtection="1">
      <protection locked="0"/>
    </xf>
    <xf numFmtId="0" fontId="42" fillId="0" borderId="1" xfId="6" applyFont="1" applyBorder="1" applyAlignment="1">
      <alignment horizontal="center" vertical="center"/>
    </xf>
    <xf numFmtId="3" fontId="42" fillId="0" borderId="1" xfId="1" applyNumberFormat="1" applyFont="1" applyBorder="1" applyAlignment="1">
      <alignment horizontal="center" vertical="center" wrapText="1"/>
    </xf>
    <xf numFmtId="0" fontId="42" fillId="0" borderId="0" xfId="0" applyFont="1" applyAlignment="1">
      <alignment vertical="center"/>
    </xf>
    <xf numFmtId="3" fontId="42" fillId="0" borderId="1" xfId="6" applyNumberFormat="1" applyFont="1" applyBorder="1" applyAlignment="1">
      <alignment horizontal="left" vertical="center" wrapText="1"/>
    </xf>
    <xf numFmtId="3" fontId="42" fillId="0" borderId="1" xfId="6" applyNumberFormat="1" applyFont="1" applyBorder="1" applyAlignment="1">
      <alignment vertical="center" wrapText="1"/>
    </xf>
    <xf numFmtId="49" fontId="43" fillId="2" borderId="5" xfId="6" applyNumberFormat="1" applyFont="1" applyFill="1" applyBorder="1" applyAlignment="1">
      <alignment horizontal="center" vertical="center"/>
    </xf>
    <xf numFmtId="0" fontId="43" fillId="2" borderId="7" xfId="6" applyFont="1" applyFill="1" applyBorder="1" applyAlignment="1">
      <alignment vertical="center" wrapText="1"/>
    </xf>
    <xf numFmtId="3" fontId="43" fillId="2" borderId="1" xfId="6" applyNumberFormat="1" applyFont="1" applyFill="1" applyBorder="1" applyAlignment="1">
      <alignment horizontal="center" vertical="center"/>
    </xf>
    <xf numFmtId="3" fontId="45" fillId="2" borderId="3" xfId="6" applyNumberFormat="1" applyFont="1" applyFill="1" applyBorder="1" applyAlignment="1">
      <alignment horizontal="center" vertical="center"/>
    </xf>
    <xf numFmtId="3" fontId="45" fillId="2" borderId="1" xfId="6" applyNumberFormat="1" applyFont="1" applyFill="1" applyBorder="1" applyAlignment="1">
      <alignment horizontal="center" vertical="center"/>
    </xf>
    <xf numFmtId="49" fontId="43" fillId="4" borderId="5" xfId="6" applyNumberFormat="1" applyFont="1" applyFill="1" applyBorder="1" applyAlignment="1">
      <alignment horizontal="center" vertical="center"/>
    </xf>
    <xf numFmtId="0" fontId="43" fillId="4" borderId="4" xfId="6" applyFont="1" applyFill="1" applyBorder="1" applyAlignment="1">
      <alignment vertical="center" wrapText="1"/>
    </xf>
    <xf numFmtId="3" fontId="43" fillId="4" borderId="1" xfId="6" applyNumberFormat="1" applyFont="1" applyFill="1" applyBorder="1" applyAlignment="1">
      <alignment horizontal="center" vertical="center"/>
    </xf>
    <xf numFmtId="3" fontId="45" fillId="4" borderId="1" xfId="6" applyNumberFormat="1" applyFont="1" applyFill="1" applyBorder="1" applyAlignment="1">
      <alignment horizontal="center" vertical="center"/>
    </xf>
    <xf numFmtId="49" fontId="42" fillId="0" borderId="5" xfId="6" applyNumberFormat="1" applyFont="1" applyBorder="1" applyAlignment="1">
      <alignment horizontal="center" vertical="center"/>
    </xf>
    <xf numFmtId="49" fontId="42" fillId="0" borderId="1" xfId="6" applyNumberFormat="1" applyFont="1" applyBorder="1" applyAlignment="1">
      <alignment horizontal="center" vertical="center"/>
    </xf>
    <xf numFmtId="0" fontId="43" fillId="2" borderId="4" xfId="6" applyFont="1" applyFill="1" applyBorder="1" applyAlignment="1">
      <alignment vertical="center" wrapText="1"/>
    </xf>
    <xf numFmtId="0" fontId="42" fillId="0" borderId="1" xfId="0" applyFont="1" applyBorder="1" applyAlignment="1">
      <alignment horizontal="left" vertical="center" wrapText="1" readingOrder="1"/>
    </xf>
    <xf numFmtId="49" fontId="43" fillId="2" borderId="1" xfId="6" applyNumberFormat="1" applyFont="1" applyFill="1" applyBorder="1" applyAlignment="1">
      <alignment horizontal="center" vertical="center"/>
    </xf>
    <xf numFmtId="3" fontId="43" fillId="2" borderId="1" xfId="6" applyNumberFormat="1" applyFont="1" applyFill="1" applyBorder="1" applyAlignment="1">
      <alignment vertical="center" wrapText="1"/>
    </xf>
    <xf numFmtId="49" fontId="43" fillId="31" borderId="1" xfId="6" applyNumberFormat="1" applyFont="1" applyFill="1" applyBorder="1" applyAlignment="1">
      <alignment horizontal="center" vertical="center"/>
    </xf>
    <xf numFmtId="3" fontId="43" fillId="31" borderId="1" xfId="6" applyNumberFormat="1" applyFont="1" applyFill="1" applyBorder="1" applyAlignment="1">
      <alignment horizontal="center" vertical="center"/>
    </xf>
    <xf numFmtId="3" fontId="44" fillId="0" borderId="1" xfId="6" applyNumberFormat="1" applyFont="1" applyBorder="1" applyAlignment="1">
      <alignment horizontal="left" vertical="center" wrapText="1" indent="2"/>
    </xf>
    <xf numFmtId="3" fontId="43" fillId="31" borderId="1" xfId="6" applyNumberFormat="1" applyFont="1" applyFill="1" applyBorder="1" applyAlignment="1">
      <alignment horizontal="left" vertical="center" wrapText="1"/>
    </xf>
    <xf numFmtId="3" fontId="43" fillId="31" borderId="1" xfId="0" applyNumberFormat="1" applyFont="1" applyFill="1" applyBorder="1" applyAlignment="1">
      <alignment horizontal="center" vertical="center"/>
    </xf>
    <xf numFmtId="3" fontId="45" fillId="31" borderId="1" xfId="0" applyNumberFormat="1" applyFont="1" applyFill="1" applyBorder="1" applyAlignment="1">
      <alignment horizontal="center" vertical="center"/>
    </xf>
    <xf numFmtId="49" fontId="42" fillId="0" borderId="0" xfId="6" applyNumberFormat="1" applyFont="1" applyAlignment="1">
      <alignment horizontal="center" vertical="center"/>
    </xf>
    <xf numFmtId="3" fontId="42" fillId="0" borderId="0" xfId="6" applyNumberFormat="1" applyFont="1" applyAlignment="1">
      <alignment horizontal="left" vertical="center" wrapText="1"/>
    </xf>
    <xf numFmtId="3" fontId="42" fillId="0" borderId="0" xfId="6" applyNumberFormat="1" applyFont="1" applyAlignment="1">
      <alignment horizontal="right" vertical="center" wrapText="1"/>
    </xf>
    <xf numFmtId="3" fontId="42" fillId="0" borderId="0" xfId="0" applyNumberFormat="1" applyFont="1" applyAlignment="1">
      <alignment horizontal="right" vertical="center"/>
    </xf>
    <xf numFmtId="3" fontId="42" fillId="0" borderId="0" xfId="6" applyNumberFormat="1" applyFont="1" applyAlignment="1">
      <alignment horizontal="right" vertical="center"/>
    </xf>
    <xf numFmtId="3" fontId="44" fillId="0" borderId="0" xfId="0" applyNumberFormat="1" applyFont="1" applyAlignment="1">
      <alignment horizontal="center" vertical="center"/>
    </xf>
    <xf numFmtId="3" fontId="44" fillId="0" borderId="0" xfId="6" applyNumberFormat="1" applyFont="1" applyAlignment="1">
      <alignment horizontal="center" vertical="center"/>
    </xf>
    <xf numFmtId="0" fontId="42" fillId="0" borderId="0" xfId="0" applyFont="1" applyAlignment="1">
      <alignment vertical="center" wrapText="1"/>
    </xf>
    <xf numFmtId="0" fontId="44" fillId="0" borderId="0" xfId="0" applyFont="1" applyAlignment="1">
      <alignment horizontal="center" vertical="center"/>
    </xf>
    <xf numFmtId="3" fontId="45" fillId="2" borderId="1" xfId="6" applyNumberFormat="1" applyFont="1" applyFill="1" applyBorder="1" applyAlignment="1" applyProtection="1">
      <alignment horizontal="center" vertical="center" wrapText="1"/>
      <protection locked="0"/>
    </xf>
    <xf numFmtId="3" fontId="42" fillId="5" borderId="1" xfId="0" applyNumberFormat="1" applyFont="1" applyFill="1" applyBorder="1" applyAlignment="1">
      <alignment horizontal="center" vertical="center" wrapText="1"/>
    </xf>
    <xf numFmtId="49" fontId="44" fillId="3" borderId="1" xfId="6" applyNumberFormat="1" applyFont="1" applyFill="1" applyBorder="1" applyAlignment="1" applyProtection="1">
      <alignment horizontal="left" vertical="center"/>
      <protection locked="0"/>
    </xf>
    <xf numFmtId="49" fontId="44" fillId="3" borderId="1" xfId="0" applyNumberFormat="1" applyFont="1" applyFill="1" applyBorder="1" applyAlignment="1" applyProtection="1">
      <alignment horizontal="left" vertical="center"/>
      <protection locked="0"/>
    </xf>
    <xf numFmtId="49" fontId="44" fillId="0" borderId="1" xfId="6" applyNumberFormat="1" applyFont="1" applyBorder="1" applyAlignment="1" applyProtection="1">
      <alignment horizontal="left" vertical="center"/>
      <protection locked="0"/>
    </xf>
    <xf numFmtId="49" fontId="45" fillId="2" borderId="1" xfId="6" applyNumberFormat="1" applyFont="1" applyFill="1" applyBorder="1" applyAlignment="1" applyProtection="1">
      <alignment horizontal="left" vertical="center" wrapText="1"/>
      <protection locked="0"/>
    </xf>
    <xf numFmtId="9" fontId="44" fillId="3" borderId="1" xfId="12" applyFont="1" applyFill="1" applyBorder="1" applyAlignment="1" applyProtection="1">
      <alignment horizontal="center" vertical="center"/>
    </xf>
    <xf numFmtId="9" fontId="44" fillId="0" borderId="1" xfId="12" applyFont="1" applyFill="1" applyBorder="1" applyAlignment="1" applyProtection="1">
      <alignment horizontal="center" vertical="center"/>
    </xf>
    <xf numFmtId="3" fontId="42" fillId="0" borderId="2" xfId="12" applyNumberFormat="1" applyFont="1" applyFill="1" applyBorder="1" applyAlignment="1" applyProtection="1">
      <alignment horizontal="right" vertical="center" wrapText="1"/>
    </xf>
    <xf numFmtId="49" fontId="44" fillId="3" borderId="1" xfId="12" applyNumberFormat="1" applyFont="1" applyFill="1" applyBorder="1" applyAlignment="1" applyProtection="1">
      <alignment horizontal="left" vertical="center"/>
    </xf>
    <xf numFmtId="49" fontId="44" fillId="0" borderId="1" xfId="12" applyNumberFormat="1" applyFont="1" applyFill="1" applyBorder="1" applyAlignment="1" applyProtection="1">
      <alignment horizontal="left" vertical="center"/>
    </xf>
    <xf numFmtId="3" fontId="44" fillId="0" borderId="1" xfId="6" applyNumberFormat="1" applyFont="1" applyBorder="1" applyAlignment="1" applyProtection="1">
      <alignment horizontal="center" vertical="center"/>
      <protection locked="0"/>
    </xf>
    <xf numFmtId="9" fontId="44" fillId="0" borderId="1" xfId="12" applyFont="1" applyFill="1" applyBorder="1" applyAlignment="1" applyProtection="1">
      <alignment horizontal="center" vertical="center"/>
      <protection locked="0"/>
    </xf>
    <xf numFmtId="3" fontId="44" fillId="3" borderId="1" xfId="6" applyNumberFormat="1" applyFont="1" applyFill="1" applyBorder="1" applyAlignment="1" applyProtection="1">
      <alignment horizontal="center" vertical="center"/>
      <protection locked="0"/>
    </xf>
    <xf numFmtId="9" fontId="44" fillId="3" borderId="1" xfId="12" applyFont="1" applyFill="1" applyBorder="1" applyAlignment="1" applyProtection="1">
      <alignment horizontal="center" vertical="center"/>
      <protection locked="0"/>
    </xf>
    <xf numFmtId="3" fontId="44" fillId="3" borderId="1" xfId="0" applyNumberFormat="1" applyFont="1" applyFill="1" applyBorder="1" applyAlignment="1" applyProtection="1">
      <alignment horizontal="center" vertical="center"/>
      <protection locked="0"/>
    </xf>
    <xf numFmtId="3" fontId="44" fillId="0" borderId="2" xfId="12" applyNumberFormat="1" applyFont="1" applyFill="1" applyBorder="1" applyAlignment="1" applyProtection="1">
      <alignment horizontal="center" vertical="center" wrapText="1"/>
    </xf>
    <xf numFmtId="3" fontId="45" fillId="2" borderId="1" xfId="1" applyNumberFormat="1" applyFont="1" applyFill="1" applyBorder="1" applyAlignment="1" applyProtection="1">
      <alignment horizontal="center" vertical="center"/>
      <protection locked="0"/>
    </xf>
    <xf numFmtId="3" fontId="44" fillId="3" borderId="1" xfId="1" applyNumberFormat="1" applyFont="1" applyFill="1" applyBorder="1" applyAlignment="1" applyProtection="1">
      <alignment horizontal="center" vertical="center"/>
      <protection locked="0"/>
    </xf>
    <xf numFmtId="0" fontId="44" fillId="0" borderId="0" xfId="0" applyFont="1" applyAlignment="1" applyProtection="1">
      <alignment horizontal="center"/>
      <protection locked="0"/>
    </xf>
    <xf numFmtId="3" fontId="44" fillId="0" borderId="1" xfId="0" applyNumberFormat="1" applyFont="1" applyBorder="1" applyAlignment="1" applyProtection="1">
      <alignment horizontal="center" vertical="center"/>
      <protection locked="0"/>
    </xf>
    <xf numFmtId="0" fontId="51" fillId="0" borderId="0" xfId="1" applyFont="1" applyAlignment="1">
      <alignment vertical="center"/>
    </xf>
    <xf numFmtId="49" fontId="51" fillId="0" borderId="0" xfId="1" applyNumberFormat="1" applyFont="1" applyAlignment="1">
      <alignment horizontal="center" vertical="center"/>
    </xf>
    <xf numFmtId="0" fontId="50" fillId="0" borderId="0" xfId="1" applyFont="1" applyAlignment="1">
      <alignment vertical="center"/>
    </xf>
    <xf numFmtId="49" fontId="50" fillId="2" borderId="1" xfId="1" applyNumberFormat="1" applyFont="1" applyFill="1" applyBorder="1" applyAlignment="1">
      <alignment horizontal="center" vertical="center"/>
    </xf>
    <xf numFmtId="49" fontId="42" fillId="0" borderId="0" xfId="6" applyNumberFormat="1" applyFont="1" applyAlignment="1">
      <alignment horizontal="left" vertical="center"/>
    </xf>
    <xf numFmtId="3" fontId="44" fillId="5" borderId="1" xfId="12" applyNumberFormat="1" applyFont="1" applyFill="1" applyBorder="1" applyAlignment="1">
      <alignment horizontal="center" vertical="center" wrapText="1"/>
    </xf>
    <xf numFmtId="3" fontId="44" fillId="0" borderId="1" xfId="0" applyNumberFormat="1" applyFont="1" applyBorder="1" applyAlignment="1">
      <alignment horizontal="center" vertical="center" wrapText="1"/>
    </xf>
    <xf numFmtId="3" fontId="43" fillId="2" borderId="1" xfId="6" applyNumberFormat="1" applyFont="1" applyFill="1" applyBorder="1" applyAlignment="1">
      <alignment horizontal="right" vertical="center" wrapText="1"/>
    </xf>
    <xf numFmtId="3" fontId="45" fillId="2" borderId="1" xfId="6" applyNumberFormat="1" applyFont="1" applyFill="1" applyBorder="1" applyAlignment="1">
      <alignment horizontal="center" vertical="center" wrapText="1"/>
    </xf>
    <xf numFmtId="0" fontId="42" fillId="0" borderId="1" xfId="6" applyFont="1" applyBorder="1" applyAlignment="1" applyProtection="1">
      <alignment horizontal="center" vertical="center"/>
      <protection locked="0"/>
    </xf>
    <xf numFmtId="3" fontId="42" fillId="0" borderId="1" xfId="6" applyNumberFormat="1" applyFont="1" applyBorder="1" applyAlignment="1" applyProtection="1">
      <alignment horizontal="right" vertical="center" wrapText="1"/>
      <protection locked="0"/>
    </xf>
    <xf numFmtId="3" fontId="42" fillId="0" borderId="1" xfId="6" applyNumberFormat="1" applyFont="1" applyBorder="1" applyAlignment="1" applyProtection="1">
      <alignment horizontal="right" vertical="center"/>
      <protection locked="0"/>
    </xf>
    <xf numFmtId="9" fontId="44" fillId="0" borderId="1" xfId="12" applyFont="1" applyBorder="1" applyAlignment="1" applyProtection="1">
      <alignment horizontal="center" vertical="center"/>
      <protection locked="0"/>
    </xf>
    <xf numFmtId="49" fontId="52" fillId="0" borderId="1" xfId="1" applyNumberFormat="1" applyFont="1" applyBorder="1" applyAlignment="1">
      <alignment horizontal="center" vertical="center"/>
    </xf>
    <xf numFmtId="0" fontId="52" fillId="0" borderId="1" xfId="1" applyFont="1" applyBorder="1" applyAlignment="1">
      <alignment horizontal="center" vertical="center" wrapText="1"/>
    </xf>
    <xf numFmtId="49" fontId="52" fillId="2" borderId="1" xfId="5" applyNumberFormat="1" applyFont="1" applyFill="1" applyBorder="1" applyAlignment="1">
      <alignment horizontal="center" vertical="center"/>
    </xf>
    <xf numFmtId="3" fontId="52" fillId="2" borderId="1" xfId="6" applyNumberFormat="1" applyFont="1" applyFill="1" applyBorder="1" applyAlignment="1">
      <alignment horizontal="left" vertical="center" wrapText="1"/>
    </xf>
    <xf numFmtId="49" fontId="52" fillId="4" borderId="4" xfId="5" applyNumberFormat="1" applyFont="1" applyFill="1" applyBorder="1" applyAlignment="1">
      <alignment horizontal="center" vertical="center"/>
    </xf>
    <xf numFmtId="3" fontId="52" fillId="4" borderId="4" xfId="6" applyNumberFormat="1" applyFont="1" applyFill="1" applyBorder="1" applyAlignment="1">
      <alignment vertical="center" wrapText="1"/>
    </xf>
    <xf numFmtId="49" fontId="53" fillId="0" borderId="1" xfId="5" applyNumberFormat="1" applyFont="1" applyBorder="1" applyAlignment="1">
      <alignment horizontal="center" vertical="center"/>
    </xf>
    <xf numFmtId="0" fontId="53" fillId="0" borderId="1" xfId="1" applyFont="1" applyBorder="1" applyAlignment="1">
      <alignment vertical="center"/>
    </xf>
    <xf numFmtId="49" fontId="52" fillId="4" borderId="1" xfId="5" applyNumberFormat="1" applyFont="1" applyFill="1" applyBorder="1" applyAlignment="1">
      <alignment horizontal="center" vertical="center"/>
    </xf>
    <xf numFmtId="3" fontId="52" fillId="4" borderId="1" xfId="6" applyNumberFormat="1" applyFont="1" applyFill="1" applyBorder="1" applyAlignment="1">
      <alignment vertical="center" wrapText="1"/>
    </xf>
    <xf numFmtId="3" fontId="53" fillId="0" borderId="1" xfId="6" applyNumberFormat="1" applyFont="1" applyBorder="1" applyAlignment="1">
      <alignment vertical="center" wrapText="1"/>
    </xf>
    <xf numFmtId="0" fontId="53" fillId="0" borderId="1" xfId="0" applyFont="1" applyBorder="1" applyAlignment="1">
      <alignment vertical="center" wrapText="1"/>
    </xf>
    <xf numFmtId="49" fontId="52" fillId="0" borderId="1" xfId="5" applyNumberFormat="1" applyFont="1" applyBorder="1" applyAlignment="1">
      <alignment horizontal="center" vertical="center"/>
    </xf>
    <xf numFmtId="49" fontId="53" fillId="0" borderId="5" xfId="5" applyNumberFormat="1" applyFont="1" applyBorder="1" applyAlignment="1">
      <alignment horizontal="center" vertical="center"/>
    </xf>
    <xf numFmtId="0" fontId="51" fillId="0" borderId="1" xfId="1" applyFont="1" applyBorder="1" applyAlignment="1">
      <alignment vertical="center"/>
    </xf>
    <xf numFmtId="3" fontId="52" fillId="4" borderId="7" xfId="6" applyNumberFormat="1" applyFont="1" applyFill="1" applyBorder="1" applyAlignment="1">
      <alignment vertical="center" wrapText="1"/>
    </xf>
    <xf numFmtId="3" fontId="52" fillId="0" borderId="1" xfId="6" applyNumberFormat="1" applyFont="1" applyBorder="1" applyAlignment="1">
      <alignment horizontal="center" vertical="center" wrapText="1"/>
    </xf>
    <xf numFmtId="49" fontId="52" fillId="2" borderId="1" xfId="1" applyNumberFormat="1" applyFont="1" applyFill="1" applyBorder="1" applyAlignment="1">
      <alignment horizontal="center" vertical="center"/>
    </xf>
    <xf numFmtId="3" fontId="52" fillId="2" borderId="1" xfId="6" applyNumberFormat="1" applyFont="1" applyFill="1" applyBorder="1" applyAlignment="1">
      <alignment vertical="center" wrapText="1"/>
    </xf>
    <xf numFmtId="49" fontId="53" fillId="0" borderId="1" xfId="1" applyNumberFormat="1" applyFont="1" applyBorder="1" applyAlignment="1">
      <alignment horizontal="center" vertical="center"/>
    </xf>
    <xf numFmtId="3" fontId="53" fillId="3" borderId="1" xfId="6" applyNumberFormat="1" applyFont="1" applyFill="1" applyBorder="1" applyAlignment="1">
      <alignment vertical="center" wrapText="1"/>
    </xf>
    <xf numFmtId="0" fontId="52" fillId="2" borderId="1" xfId="1" applyFont="1" applyFill="1" applyBorder="1" applyAlignment="1">
      <alignment horizontal="left" vertical="center"/>
    </xf>
    <xf numFmtId="0" fontId="42" fillId="0" borderId="1" xfId="1467" applyFont="1" applyBorder="1" applyAlignment="1">
      <alignment horizontal="center" vertical="center"/>
    </xf>
    <xf numFmtId="3" fontId="42" fillId="3" borderId="1" xfId="6" applyNumberFormat="1" applyFont="1" applyFill="1" applyBorder="1" applyAlignment="1">
      <alignment horizontal="center" vertical="center" wrapText="1"/>
    </xf>
    <xf numFmtId="0" fontId="42" fillId="0" borderId="0" xfId="0" applyFont="1"/>
    <xf numFmtId="0" fontId="43" fillId="2" borderId="1" xfId="1" applyFont="1" applyFill="1" applyBorder="1" applyAlignment="1">
      <alignment horizontal="left" vertical="center"/>
    </xf>
    <xf numFmtId="3" fontId="42" fillId="2" borderId="1" xfId="6" applyNumberFormat="1" applyFont="1" applyFill="1" applyBorder="1" applyAlignment="1">
      <alignment horizontal="left" vertical="center" wrapText="1"/>
    </xf>
    <xf numFmtId="3" fontId="45" fillId="2" borderId="1" xfId="1" applyNumberFormat="1" applyFont="1" applyFill="1" applyBorder="1" applyAlignment="1">
      <alignment horizontal="center" vertical="center"/>
    </xf>
    <xf numFmtId="9" fontId="45" fillId="2" borderId="1" xfId="12" applyFont="1" applyFill="1" applyBorder="1" applyAlignment="1">
      <alignment horizontal="center" vertical="center"/>
    </xf>
    <xf numFmtId="0" fontId="42" fillId="3" borderId="1" xfId="1" applyFont="1" applyFill="1" applyBorder="1" applyAlignment="1">
      <alignment horizontal="left" vertical="center"/>
    </xf>
    <xf numFmtId="3" fontId="42" fillId="3" borderId="1" xfId="6" applyNumberFormat="1" applyFont="1" applyFill="1" applyBorder="1" applyAlignment="1">
      <alignment horizontal="left" vertical="center" wrapText="1"/>
    </xf>
    <xf numFmtId="3" fontId="44" fillId="0" borderId="1" xfId="1" applyNumberFormat="1" applyFont="1" applyBorder="1" applyAlignment="1" applyProtection="1">
      <alignment horizontal="center" vertical="center"/>
      <protection locked="0"/>
    </xf>
    <xf numFmtId="0" fontId="42" fillId="2" borderId="1" xfId="1" applyFont="1" applyFill="1" applyBorder="1" applyAlignment="1">
      <alignment horizontal="left" vertical="center"/>
    </xf>
    <xf numFmtId="3" fontId="44" fillId="2" borderId="1" xfId="1" applyNumberFormat="1" applyFont="1" applyFill="1" applyBorder="1" applyAlignment="1">
      <alignment horizontal="center" vertical="center"/>
    </xf>
    <xf numFmtId="9" fontId="44" fillId="2" borderId="1" xfId="12" applyFont="1" applyFill="1" applyBorder="1" applyAlignment="1">
      <alignment horizontal="center" vertical="center"/>
    </xf>
    <xf numFmtId="3" fontId="43" fillId="2" borderId="1" xfId="6" applyNumberFormat="1" applyFont="1" applyFill="1" applyBorder="1" applyAlignment="1">
      <alignment horizontal="left" vertical="center" wrapText="1"/>
    </xf>
    <xf numFmtId="9" fontId="45" fillId="2" borderId="1" xfId="12" applyFont="1" applyFill="1" applyBorder="1" applyAlignment="1" applyProtection="1">
      <alignment horizontal="center" vertical="center"/>
      <protection locked="0"/>
    </xf>
    <xf numFmtId="0" fontId="42" fillId="0" borderId="0" xfId="0" applyFont="1" applyAlignment="1" applyProtection="1">
      <alignment horizontal="left"/>
      <protection locked="0"/>
    </xf>
    <xf numFmtId="0" fontId="42" fillId="3" borderId="1" xfId="0" applyFont="1" applyFill="1" applyBorder="1" applyAlignment="1">
      <alignment horizontal="left" vertical="center"/>
    </xf>
    <xf numFmtId="0" fontId="43" fillId="2" borderId="1" xfId="6" applyFont="1" applyFill="1" applyBorder="1" applyAlignment="1">
      <alignment horizontal="left" vertical="center" wrapText="1"/>
    </xf>
    <xf numFmtId="3" fontId="43" fillId="2" borderId="1" xfId="6" applyNumberFormat="1" applyFont="1" applyFill="1" applyBorder="1" applyAlignment="1">
      <alignment horizontal="left" vertical="center"/>
    </xf>
    <xf numFmtId="0" fontId="43" fillId="0" borderId="0" xfId="1" applyFont="1" applyAlignment="1">
      <alignment horizontal="left" vertical="center"/>
    </xf>
    <xf numFmtId="3" fontId="43" fillId="0" borderId="0" xfId="6" applyNumberFormat="1" applyFont="1" applyAlignment="1">
      <alignment horizontal="left" vertical="center"/>
    </xf>
    <xf numFmtId="3" fontId="43" fillId="0" borderId="0" xfId="1" applyNumberFormat="1" applyFont="1" applyAlignment="1">
      <alignment horizontal="right" vertical="center"/>
    </xf>
    <xf numFmtId="3" fontId="45" fillId="0" borderId="0" xfId="1" applyNumberFormat="1" applyFont="1" applyAlignment="1">
      <alignment horizontal="center" vertical="center"/>
    </xf>
    <xf numFmtId="9" fontId="45" fillId="0" borderId="0" xfId="12" applyFont="1" applyAlignment="1">
      <alignment horizontal="center" vertical="center"/>
    </xf>
    <xf numFmtId="0" fontId="42" fillId="0" borderId="0" xfId="1467" applyFont="1" applyAlignment="1">
      <alignment vertical="center"/>
    </xf>
    <xf numFmtId="0" fontId="47" fillId="0" borderId="0" xfId="1467" applyFont="1" applyAlignment="1">
      <alignment horizontal="center" vertical="center"/>
    </xf>
    <xf numFmtId="0" fontId="47" fillId="0" borderId="0" xfId="1467" applyFont="1" applyAlignment="1">
      <alignment vertical="center" wrapText="1"/>
    </xf>
    <xf numFmtId="3" fontId="47" fillId="0" borderId="0" xfId="1467" applyNumberFormat="1" applyFont="1" applyAlignment="1">
      <alignment horizontal="center" vertical="center"/>
    </xf>
    <xf numFmtId="0" fontId="41" fillId="0" borderId="0" xfId="1467" applyFont="1" applyAlignment="1">
      <alignment vertical="center"/>
    </xf>
    <xf numFmtId="0" fontId="48" fillId="0" borderId="0" xfId="1467" applyFont="1" applyAlignment="1">
      <alignment horizontal="center" vertical="center"/>
    </xf>
    <xf numFmtId="0" fontId="48" fillId="0" borderId="0" xfId="1467" applyFont="1" applyAlignment="1">
      <alignment vertical="center"/>
    </xf>
    <xf numFmtId="0" fontId="48" fillId="0" borderId="0" xfId="1467" applyFont="1" applyAlignment="1" applyProtection="1">
      <alignment vertical="center"/>
      <protection locked="0"/>
    </xf>
    <xf numFmtId="49" fontId="45" fillId="2" borderId="1" xfId="12" applyNumberFormat="1" applyFont="1" applyFill="1" applyBorder="1" applyAlignment="1">
      <alignment horizontal="left" vertical="center" wrapText="1"/>
    </xf>
    <xf numFmtId="49" fontId="44" fillId="3" borderId="1" xfId="12" applyNumberFormat="1" applyFont="1" applyFill="1" applyBorder="1" applyAlignment="1">
      <alignment horizontal="left" vertical="center"/>
    </xf>
    <xf numFmtId="49" fontId="44" fillId="32" borderId="1" xfId="12" applyNumberFormat="1" applyFont="1" applyFill="1" applyBorder="1" applyAlignment="1">
      <alignment horizontal="left" vertical="center" wrapText="1"/>
    </xf>
    <xf numFmtId="3" fontId="45" fillId="4" borderId="3" xfId="6" applyNumberFormat="1" applyFont="1" applyFill="1" applyBorder="1" applyAlignment="1">
      <alignment horizontal="center" vertical="center"/>
    </xf>
    <xf numFmtId="49" fontId="44" fillId="0" borderId="1" xfId="12" applyNumberFormat="1" applyFont="1" applyBorder="1" applyAlignment="1">
      <alignment horizontal="left" vertical="center" wrapText="1"/>
    </xf>
    <xf numFmtId="49" fontId="44" fillId="0" borderId="2" xfId="0" applyNumberFormat="1" applyFont="1" applyBorder="1" applyAlignment="1" applyProtection="1">
      <alignment horizontal="left" vertical="center" wrapText="1"/>
      <protection locked="0"/>
    </xf>
    <xf numFmtId="49" fontId="44" fillId="0" borderId="1" xfId="6" applyNumberFormat="1" applyFont="1" applyBorder="1" applyAlignment="1" applyProtection="1">
      <alignment horizontal="left" vertical="center" wrapText="1"/>
      <protection locked="0"/>
    </xf>
    <xf numFmtId="3" fontId="51" fillId="0" borderId="1" xfId="0" applyNumberFormat="1" applyFont="1" applyBorder="1" applyAlignment="1">
      <alignment horizontal="center" vertical="center" wrapText="1"/>
    </xf>
    <xf numFmtId="0" fontId="42" fillId="0" borderId="4" xfId="6" applyFont="1" applyBorder="1" applyAlignment="1">
      <alignment vertical="center" wrapText="1"/>
    </xf>
    <xf numFmtId="3" fontId="42" fillId="3" borderId="1" xfId="6" applyNumberFormat="1" applyFont="1" applyFill="1" applyBorder="1" applyAlignment="1">
      <alignment horizontal="right" vertical="center"/>
    </xf>
    <xf numFmtId="3" fontId="44" fillId="3" borderId="1" xfId="6" applyNumberFormat="1" applyFont="1" applyFill="1" applyBorder="1" applyAlignment="1">
      <alignment horizontal="center" vertical="center"/>
    </xf>
    <xf numFmtId="0" fontId="42" fillId="0" borderId="1" xfId="0" applyFont="1" applyBorder="1" applyAlignment="1">
      <alignment horizontal="left" vertical="center" wrapText="1" indent="2" readingOrder="1"/>
    </xf>
    <xf numFmtId="49" fontId="42" fillId="0" borderId="5" xfId="6" applyNumberFormat="1" applyFont="1" applyBorder="1" applyAlignment="1">
      <alignment horizontal="right" vertical="center"/>
    </xf>
    <xf numFmtId="0" fontId="44" fillId="0" borderId="1" xfId="0" applyFont="1" applyBorder="1" applyAlignment="1">
      <alignment horizontal="left" vertical="center" wrapText="1" indent="4" readingOrder="1"/>
    </xf>
    <xf numFmtId="0" fontId="42" fillId="0" borderId="6" xfId="0" applyFont="1" applyBorder="1" applyAlignment="1">
      <alignment horizontal="left" vertical="center" wrapText="1" readingOrder="1"/>
    </xf>
    <xf numFmtId="3" fontId="42" fillId="0" borderId="2" xfId="0" applyNumberFormat="1" applyFont="1" applyBorder="1" applyAlignment="1">
      <alignment horizontal="right" vertical="center" wrapText="1"/>
    </xf>
    <xf numFmtId="3" fontId="44" fillId="0" borderId="2" xfId="0" applyNumberFormat="1" applyFont="1" applyBorder="1" applyAlignment="1">
      <alignment horizontal="center" vertical="center" wrapText="1"/>
    </xf>
    <xf numFmtId="3" fontId="44" fillId="0" borderId="2" xfId="0" applyNumberFormat="1" applyFont="1" applyBorder="1" applyAlignment="1" applyProtection="1">
      <alignment horizontal="center" vertical="center" wrapText="1"/>
      <protection locked="0"/>
    </xf>
    <xf numFmtId="9" fontId="44" fillId="0" borderId="2" xfId="12" applyFont="1" applyFill="1" applyBorder="1" applyAlignment="1" applyProtection="1">
      <alignment horizontal="center" vertical="center" wrapText="1"/>
      <protection locked="0"/>
    </xf>
    <xf numFmtId="3" fontId="42" fillId="0" borderId="2" xfId="0" applyNumberFormat="1" applyFont="1" applyBorder="1" applyAlignment="1" applyProtection="1">
      <alignment horizontal="right" vertical="center" wrapText="1"/>
      <protection locked="0"/>
    </xf>
    <xf numFmtId="0" fontId="43" fillId="4" borderId="6" xfId="0" applyFont="1" applyFill="1" applyBorder="1" applyAlignment="1">
      <alignment horizontal="left" vertical="center" wrapText="1" readingOrder="1"/>
    </xf>
    <xf numFmtId="49" fontId="42" fillId="3" borderId="1" xfId="6" applyNumberFormat="1" applyFont="1" applyFill="1" applyBorder="1" applyAlignment="1">
      <alignment horizontal="center" vertical="center"/>
    </xf>
    <xf numFmtId="3" fontId="42" fillId="3" borderId="6" xfId="6" applyNumberFormat="1" applyFont="1" applyFill="1" applyBorder="1" applyAlignment="1">
      <alignment vertical="center" wrapText="1"/>
    </xf>
    <xf numFmtId="3" fontId="42" fillId="3" borderId="1" xfId="6" applyNumberFormat="1" applyFont="1" applyFill="1" applyBorder="1" applyAlignment="1">
      <alignment vertical="center" wrapText="1"/>
    </xf>
    <xf numFmtId="3" fontId="42" fillId="3" borderId="6" xfId="6" applyNumberFormat="1" applyFont="1" applyFill="1" applyBorder="1" applyAlignment="1">
      <alignment horizontal="left" vertical="center" wrapText="1"/>
    </xf>
    <xf numFmtId="49" fontId="42" fillId="3" borderId="1" xfId="6" applyNumberFormat="1" applyFont="1" applyFill="1" applyBorder="1" applyAlignment="1">
      <alignment horizontal="right" vertical="center"/>
    </xf>
    <xf numFmtId="3" fontId="44" fillId="3" borderId="6" xfId="6" applyNumberFormat="1" applyFont="1" applyFill="1" applyBorder="1" applyAlignment="1">
      <alignment horizontal="left" vertical="center" wrapText="1" indent="2"/>
    </xf>
    <xf numFmtId="49" fontId="43" fillId="4" borderId="1" xfId="6" applyNumberFormat="1" applyFont="1" applyFill="1" applyBorder="1" applyAlignment="1">
      <alignment horizontal="center" vertical="center"/>
    </xf>
    <xf numFmtId="3" fontId="43" fillId="4" borderId="1" xfId="6" applyNumberFormat="1" applyFont="1" applyFill="1" applyBorder="1" applyAlignment="1">
      <alignment vertical="center" wrapText="1"/>
    </xf>
    <xf numFmtId="3" fontId="42" fillId="3" borderId="1" xfId="0" applyNumberFormat="1" applyFont="1" applyFill="1" applyBorder="1" applyAlignment="1">
      <alignment horizontal="right" vertical="center"/>
    </xf>
    <xf numFmtId="3" fontId="44" fillId="3" borderId="1" xfId="6" applyNumberFormat="1" applyFont="1" applyFill="1" applyBorder="1" applyAlignment="1">
      <alignment horizontal="left" vertical="center" wrapText="1" indent="2"/>
    </xf>
    <xf numFmtId="49" fontId="42" fillId="3" borderId="5" xfId="6" applyNumberFormat="1" applyFont="1" applyFill="1" applyBorder="1" applyAlignment="1">
      <alignment horizontal="center" vertical="center"/>
    </xf>
    <xf numFmtId="3" fontId="44" fillId="0" borderId="4" xfId="6" applyNumberFormat="1" applyFont="1" applyBorder="1" applyAlignment="1">
      <alignment horizontal="left" vertical="center" wrapText="1" indent="2"/>
    </xf>
    <xf numFmtId="9" fontId="44" fillId="3" borderId="3" xfId="12" applyFont="1" applyFill="1" applyBorder="1" applyAlignment="1" applyProtection="1">
      <alignment horizontal="center" vertical="center"/>
    </xf>
    <xf numFmtId="3" fontId="45" fillId="31" borderId="3" xfId="6" applyNumberFormat="1" applyFont="1" applyFill="1" applyBorder="1" applyAlignment="1">
      <alignment horizontal="center" vertical="center"/>
    </xf>
    <xf numFmtId="49" fontId="44" fillId="0" borderId="1" xfId="12" applyNumberFormat="1" applyFont="1" applyFill="1" applyBorder="1" applyAlignment="1">
      <alignment horizontal="left" vertical="center" wrapText="1"/>
    </xf>
    <xf numFmtId="3" fontId="53" fillId="0" borderId="1" xfId="1" applyNumberFormat="1" applyFont="1" applyBorder="1" applyAlignment="1">
      <alignment vertical="center" wrapText="1"/>
    </xf>
    <xf numFmtId="3" fontId="53" fillId="0" borderId="6" xfId="6" applyNumberFormat="1" applyFont="1" applyBorder="1" applyAlignment="1">
      <alignment vertical="center" wrapText="1"/>
    </xf>
    <xf numFmtId="3" fontId="42" fillId="0" borderId="0" xfId="0" applyNumberFormat="1" applyFont="1" applyProtection="1">
      <protection locked="0"/>
    </xf>
    <xf numFmtId="0" fontId="43" fillId="2" borderId="1" xfId="0" applyFont="1" applyFill="1" applyBorder="1" applyAlignment="1">
      <alignment horizontal="left" vertical="center" wrapText="1" readingOrder="1"/>
    </xf>
    <xf numFmtId="9" fontId="45" fillId="2" borderId="1" xfId="12" applyFont="1" applyFill="1" applyBorder="1" applyAlignment="1" applyProtection="1">
      <alignment horizontal="center" vertical="center" wrapText="1"/>
    </xf>
    <xf numFmtId="9" fontId="45" fillId="2" borderId="1" xfId="12" applyFont="1" applyFill="1" applyBorder="1" applyAlignment="1" applyProtection="1">
      <alignment horizontal="center" vertical="center" wrapText="1"/>
      <protection locked="0"/>
    </xf>
    <xf numFmtId="0" fontId="42" fillId="3" borderId="1" xfId="6" applyFont="1" applyFill="1" applyBorder="1" applyAlignment="1">
      <alignment vertical="center"/>
    </xf>
    <xf numFmtId="0" fontId="42" fillId="3" borderId="1" xfId="6" applyFont="1" applyFill="1" applyBorder="1" applyAlignment="1">
      <alignment vertical="center" wrapText="1"/>
    </xf>
    <xf numFmtId="3" fontId="46" fillId="2" borderId="1" xfId="6" applyNumberFormat="1" applyFont="1" applyFill="1" applyBorder="1" applyAlignment="1">
      <alignment vertical="center" wrapText="1"/>
    </xf>
    <xf numFmtId="49" fontId="44" fillId="3" borderId="1" xfId="12" applyNumberFormat="1" applyFont="1" applyFill="1" applyBorder="1" applyAlignment="1">
      <alignment horizontal="left" vertical="center" wrapText="1"/>
    </xf>
    <xf numFmtId="0" fontId="43" fillId="31" borderId="1" xfId="6" applyFont="1" applyFill="1" applyBorder="1" applyAlignment="1">
      <alignment vertical="center" wrapText="1"/>
    </xf>
    <xf numFmtId="0" fontId="53" fillId="0" borderId="1" xfId="0" applyFont="1" applyBorder="1"/>
    <xf numFmtId="3" fontId="57" fillId="5" borderId="1" xfId="12" applyNumberFormat="1" applyFont="1" applyFill="1" applyBorder="1" applyAlignment="1" applyProtection="1">
      <alignment horizontal="center" vertical="center" wrapText="1"/>
    </xf>
    <xf numFmtId="166" fontId="60" fillId="2" borderId="1" xfId="12" applyNumberFormat="1" applyFont="1" applyFill="1" applyBorder="1" applyAlignment="1" applyProtection="1">
      <alignment horizontal="center" vertical="center" wrapText="1"/>
    </xf>
    <xf numFmtId="3" fontId="57" fillId="3" borderId="1" xfId="0" applyNumberFormat="1" applyFont="1" applyFill="1" applyBorder="1" applyAlignment="1" applyProtection="1">
      <alignment horizontal="center" vertical="center" wrapText="1"/>
      <protection locked="0"/>
    </xf>
    <xf numFmtId="166" fontId="57" fillId="3" borderId="1" xfId="12" applyNumberFormat="1" applyFont="1" applyFill="1" applyBorder="1" applyAlignment="1" applyProtection="1">
      <alignment horizontal="center" vertical="center" wrapText="1"/>
    </xf>
    <xf numFmtId="3" fontId="60" fillId="2" borderId="1" xfId="0" applyNumberFormat="1" applyFont="1" applyFill="1" applyBorder="1" applyAlignment="1" applyProtection="1">
      <alignment horizontal="center" vertical="center" wrapText="1"/>
      <protection locked="0"/>
    </xf>
    <xf numFmtId="3" fontId="60" fillId="3" borderId="1" xfId="0" applyNumberFormat="1" applyFont="1" applyFill="1" applyBorder="1" applyAlignment="1" applyProtection="1">
      <alignment horizontal="center" vertical="center" wrapText="1"/>
      <protection locked="0"/>
    </xf>
    <xf numFmtId="166" fontId="60" fillId="3" borderId="1" xfId="12" applyNumberFormat="1" applyFont="1" applyFill="1" applyBorder="1" applyAlignment="1" applyProtection="1">
      <alignment horizontal="center" vertical="center" wrapText="1"/>
    </xf>
    <xf numFmtId="166" fontId="60" fillId="0" borderId="1" xfId="12" applyNumberFormat="1" applyFont="1" applyFill="1" applyBorder="1" applyAlignment="1" applyProtection="1">
      <alignment horizontal="center" vertical="center" wrapText="1"/>
    </xf>
    <xf numFmtId="3" fontId="60" fillId="2" borderId="1" xfId="0" applyNumberFormat="1" applyFont="1" applyFill="1" applyBorder="1" applyAlignment="1">
      <alignment horizontal="center" vertical="center" wrapText="1"/>
    </xf>
    <xf numFmtId="166" fontId="60" fillId="2" borderId="1" xfId="12" applyNumberFormat="1" applyFont="1" applyFill="1" applyBorder="1" applyAlignment="1">
      <alignment horizontal="center" vertical="center" wrapText="1"/>
    </xf>
    <xf numFmtId="1" fontId="50" fillId="2" borderId="1" xfId="0" applyNumberFormat="1" applyFont="1" applyFill="1" applyBorder="1" applyAlignment="1">
      <alignment horizontal="right" vertical="center" wrapText="1"/>
    </xf>
    <xf numFmtId="1" fontId="51" fillId="3" borderId="1" xfId="0" applyNumberFormat="1" applyFont="1" applyFill="1" applyBorder="1" applyAlignment="1">
      <alignment horizontal="right" vertical="center" wrapText="1"/>
    </xf>
    <xf numFmtId="3" fontId="57" fillId="3" borderId="1" xfId="0" applyNumberFormat="1" applyFont="1" applyFill="1" applyBorder="1" applyAlignment="1">
      <alignment horizontal="center" vertical="center" wrapText="1"/>
    </xf>
    <xf numFmtId="166" fontId="57" fillId="3" borderId="1" xfId="12" applyNumberFormat="1" applyFont="1" applyFill="1" applyBorder="1" applyAlignment="1">
      <alignment horizontal="center" vertical="center" wrapText="1"/>
    </xf>
    <xf numFmtId="3" fontId="57" fillId="0" borderId="1" xfId="0" applyNumberFormat="1" applyFont="1" applyBorder="1" applyAlignment="1" applyProtection="1">
      <alignment horizontal="center" vertical="center" wrapText="1"/>
      <protection locked="0"/>
    </xf>
    <xf numFmtId="166" fontId="57" fillId="0" borderId="1" xfId="12" applyNumberFormat="1" applyFont="1" applyBorder="1" applyAlignment="1">
      <alignment horizontal="center" vertical="center" wrapText="1"/>
    </xf>
    <xf numFmtId="166" fontId="60" fillId="3" borderId="1" xfId="12" applyNumberFormat="1" applyFont="1" applyFill="1" applyBorder="1" applyAlignment="1">
      <alignment horizontal="center" vertical="center" wrapText="1"/>
    </xf>
    <xf numFmtId="1" fontId="51" fillId="2" borderId="1" xfId="0" applyNumberFormat="1" applyFont="1" applyFill="1" applyBorder="1" applyAlignment="1">
      <alignment horizontal="right" vertical="center" wrapText="1"/>
    </xf>
    <xf numFmtId="3" fontId="57" fillId="2" borderId="1" xfId="0" applyNumberFormat="1" applyFont="1" applyFill="1" applyBorder="1" applyAlignment="1">
      <alignment horizontal="center" vertical="center" wrapText="1"/>
    </xf>
    <xf numFmtId="166" fontId="57" fillId="2" borderId="1" xfId="12" applyNumberFormat="1" applyFont="1" applyFill="1" applyBorder="1" applyAlignment="1">
      <alignment horizontal="center" vertical="center" wrapText="1"/>
    </xf>
    <xf numFmtId="1" fontId="50" fillId="2" borderId="1" xfId="0" applyNumberFormat="1" applyFont="1" applyFill="1" applyBorder="1" applyAlignment="1" applyProtection="1">
      <alignment horizontal="right" vertical="center" wrapText="1"/>
      <protection locked="0"/>
    </xf>
    <xf numFmtId="1" fontId="51" fillId="3" borderId="1" xfId="0" applyNumberFormat="1" applyFont="1" applyFill="1" applyBorder="1" applyAlignment="1" applyProtection="1">
      <alignment horizontal="right" vertical="center" wrapText="1"/>
      <protection locked="0"/>
    </xf>
    <xf numFmtId="166" fontId="57" fillId="0" borderId="1" xfId="12" applyNumberFormat="1" applyFont="1" applyFill="1" applyBorder="1" applyAlignment="1" applyProtection="1">
      <alignment horizontal="center" vertical="center" wrapText="1"/>
    </xf>
    <xf numFmtId="3" fontId="42" fillId="3" borderId="1" xfId="6" applyNumberFormat="1" applyFont="1" applyFill="1" applyBorder="1" applyAlignment="1" applyProtection="1">
      <alignment vertical="center"/>
      <protection locked="0"/>
    </xf>
    <xf numFmtId="3" fontId="42" fillId="0" borderId="1" xfId="0" applyNumberFormat="1" applyFont="1" applyBorder="1" applyAlignment="1">
      <alignment vertical="center"/>
    </xf>
    <xf numFmtId="3" fontId="43" fillId="2" borderId="1" xfId="1" applyNumberFormat="1" applyFont="1" applyFill="1" applyBorder="1" applyAlignment="1">
      <alignment vertical="center"/>
    </xf>
    <xf numFmtId="3" fontId="42" fillId="0" borderId="1" xfId="1" applyNumberFormat="1" applyFont="1" applyBorder="1" applyAlignment="1" applyProtection="1">
      <alignment vertical="center"/>
      <protection locked="0"/>
    </xf>
    <xf numFmtId="3" fontId="42" fillId="2" borderId="1" xfId="1" applyNumberFormat="1" applyFont="1" applyFill="1" applyBorder="1" applyAlignment="1">
      <alignment vertical="center"/>
    </xf>
    <xf numFmtId="3" fontId="43" fillId="2" borderId="1" xfId="1" applyNumberFormat="1" applyFont="1" applyFill="1" applyBorder="1" applyAlignment="1" applyProtection="1">
      <alignment vertical="center"/>
      <protection locked="0"/>
    </xf>
    <xf numFmtId="3" fontId="42" fillId="3" borderId="1" xfId="1" applyNumberFormat="1" applyFont="1" applyFill="1" applyBorder="1" applyAlignment="1" applyProtection="1">
      <alignment vertical="center"/>
      <protection locked="0"/>
    </xf>
    <xf numFmtId="1" fontId="51" fillId="0" borderId="1" xfId="0" applyNumberFormat="1" applyFont="1" applyBorder="1" applyAlignment="1" applyProtection="1">
      <alignment horizontal="right" vertical="center" wrapText="1"/>
      <protection locked="0"/>
    </xf>
    <xf numFmtId="1" fontId="50" fillId="3" borderId="1" xfId="0" applyNumberFormat="1" applyFont="1" applyFill="1" applyBorder="1" applyAlignment="1" applyProtection="1">
      <alignment horizontal="right" vertical="center" wrapText="1"/>
      <protection locked="0"/>
    </xf>
    <xf numFmtId="1" fontId="50" fillId="3" borderId="1" xfId="1" applyNumberFormat="1" applyFont="1" applyFill="1" applyBorder="1" applyAlignment="1" applyProtection="1">
      <alignment horizontal="right" vertical="center" wrapText="1"/>
      <protection locked="0"/>
    </xf>
    <xf numFmtId="1" fontId="50" fillId="0" borderId="1" xfId="1" applyNumberFormat="1" applyFont="1" applyBorder="1" applyAlignment="1" applyProtection="1">
      <alignment horizontal="right" vertical="center" wrapText="1"/>
      <protection locked="0"/>
    </xf>
    <xf numFmtId="1" fontId="50" fillId="0" borderId="1" xfId="0" applyNumberFormat="1" applyFont="1" applyBorder="1" applyAlignment="1" applyProtection="1">
      <alignment horizontal="right" vertical="center" wrapText="1"/>
      <protection locked="0"/>
    </xf>
    <xf numFmtId="1" fontId="62" fillId="2" borderId="1" xfId="0" applyNumberFormat="1" applyFont="1" applyFill="1" applyBorder="1" applyAlignment="1">
      <alignment horizontal="right" vertical="center" wrapText="1"/>
    </xf>
    <xf numFmtId="3" fontId="51" fillId="0" borderId="0" xfId="0" applyNumberFormat="1" applyFont="1" applyAlignment="1">
      <alignment vertical="center"/>
    </xf>
    <xf numFmtId="49" fontId="44" fillId="3" borderId="1" xfId="6" applyNumberFormat="1" applyFont="1" applyFill="1" applyBorder="1" applyAlignment="1" applyProtection="1">
      <alignment horizontal="left" vertical="center" wrapText="1"/>
      <protection locked="0"/>
    </xf>
    <xf numFmtId="3" fontId="63" fillId="0" borderId="0" xfId="1467" applyNumberFormat="1" applyFont="1" applyAlignment="1">
      <alignment horizontal="center" vertical="center"/>
    </xf>
    <xf numFmtId="9" fontId="63" fillId="0" borderId="0" xfId="12" applyFont="1" applyAlignment="1">
      <alignment horizontal="center" vertical="center"/>
    </xf>
    <xf numFmtId="3" fontId="48" fillId="0" borderId="0" xfId="0" applyNumberFormat="1" applyFont="1" applyAlignment="1">
      <alignment vertical="center"/>
    </xf>
    <xf numFmtId="3" fontId="44" fillId="6" borderId="1" xfId="1" applyNumberFormat="1" applyFont="1" applyFill="1" applyBorder="1" applyAlignment="1">
      <alignment horizontal="center" vertical="center"/>
    </xf>
    <xf numFmtId="9" fontId="44" fillId="6" borderId="1" xfId="12" applyFont="1" applyFill="1" applyBorder="1" applyAlignment="1">
      <alignment horizontal="center" vertical="center"/>
    </xf>
    <xf numFmtId="0" fontId="53" fillId="0" borderId="4" xfId="0" applyFont="1" applyBorder="1" applyAlignment="1">
      <alignment vertical="center" wrapText="1"/>
    </xf>
    <xf numFmtId="3" fontId="52" fillId="0" borderId="1" xfId="6" applyNumberFormat="1" applyFont="1" applyBorder="1" applyAlignment="1">
      <alignment vertical="center" wrapText="1"/>
    </xf>
    <xf numFmtId="3" fontId="53" fillId="0" borderId="0" xfId="1" applyNumberFormat="1" applyFont="1" applyAlignment="1">
      <alignment vertical="center" wrapText="1"/>
    </xf>
    <xf numFmtId="0" fontId="53" fillId="0" borderId="0" xfId="1" applyFont="1" applyAlignment="1">
      <alignment vertical="center" wrapText="1"/>
    </xf>
    <xf numFmtId="0" fontId="42" fillId="3" borderId="1" xfId="6" applyFont="1" applyFill="1" applyBorder="1" applyAlignment="1">
      <alignment horizontal="center" vertical="center"/>
    </xf>
    <xf numFmtId="0" fontId="51" fillId="0" borderId="1" xfId="0" applyFont="1" applyBorder="1" applyAlignment="1">
      <alignment horizontal="center" vertical="center"/>
    </xf>
    <xf numFmtId="3" fontId="51" fillId="0" borderId="1" xfId="0" applyNumberFormat="1" applyFont="1" applyBorder="1" applyAlignment="1">
      <alignment horizontal="center" vertical="center"/>
    </xf>
    <xf numFmtId="3" fontId="57" fillId="5" borderId="1" xfId="0" applyNumberFormat="1" applyFont="1" applyFill="1" applyBorder="1" applyAlignment="1">
      <alignment horizontal="center" vertical="center" wrapText="1"/>
    </xf>
    <xf numFmtId="3" fontId="57" fillId="0" borderId="1" xfId="0" applyNumberFormat="1" applyFont="1" applyBorder="1" applyAlignment="1">
      <alignment horizontal="center" vertical="center" wrapText="1"/>
    </xf>
    <xf numFmtId="0" fontId="50" fillId="2" borderId="1" xfId="0" applyFont="1" applyFill="1" applyBorder="1" applyAlignment="1">
      <alignment horizontal="center" vertical="center"/>
    </xf>
    <xf numFmtId="49" fontId="50" fillId="2" borderId="1" xfId="0" applyNumberFormat="1" applyFont="1" applyFill="1" applyBorder="1" applyAlignment="1">
      <alignment horizontal="center" vertical="center"/>
    </xf>
    <xf numFmtId="3" fontId="50" fillId="0" borderId="0" xfId="0" applyNumberFormat="1" applyFont="1" applyAlignment="1">
      <alignment vertical="center"/>
    </xf>
    <xf numFmtId="49" fontId="51" fillId="3" borderId="1" xfId="0" applyNumberFormat="1" applyFont="1" applyFill="1" applyBorder="1" applyAlignment="1">
      <alignment horizontal="center" vertical="center"/>
    </xf>
    <xf numFmtId="49" fontId="50" fillId="3" borderId="1" xfId="0" applyNumberFormat="1" applyFont="1" applyFill="1" applyBorder="1" applyAlignment="1">
      <alignment horizontal="center" vertical="center"/>
    </xf>
    <xf numFmtId="3" fontId="61" fillId="0" borderId="0" xfId="0" applyNumberFormat="1" applyFont="1" applyAlignment="1">
      <alignment vertical="center"/>
    </xf>
    <xf numFmtId="49" fontId="50" fillId="0" borderId="1" xfId="0" applyNumberFormat="1" applyFont="1" applyBorder="1" applyAlignment="1">
      <alignment horizontal="center" vertical="center"/>
    </xf>
    <xf numFmtId="3" fontId="60" fillId="0" borderId="1" xfId="0" applyNumberFormat="1" applyFont="1" applyBorder="1" applyAlignment="1" applyProtection="1">
      <alignment horizontal="center" vertical="center" wrapText="1"/>
      <protection locked="0"/>
    </xf>
    <xf numFmtId="0" fontId="50" fillId="3" borderId="1" xfId="0" applyFont="1" applyFill="1" applyBorder="1" applyAlignment="1">
      <alignment horizontal="center" vertical="center"/>
    </xf>
    <xf numFmtId="0" fontId="51" fillId="3" borderId="1" xfId="0" applyFont="1" applyFill="1" applyBorder="1" applyAlignment="1">
      <alignment horizontal="center" vertical="center"/>
    </xf>
    <xf numFmtId="3" fontId="51" fillId="0" borderId="1" xfId="0" applyNumberFormat="1" applyFont="1" applyBorder="1" applyAlignment="1">
      <alignment vertical="center" wrapText="1"/>
    </xf>
    <xf numFmtId="0" fontId="51" fillId="2" borderId="1" xfId="0" applyFont="1" applyFill="1" applyBorder="1" applyAlignment="1">
      <alignment horizontal="center" vertical="center"/>
    </xf>
    <xf numFmtId="0" fontId="60" fillId="2" borderId="1" xfId="0" applyFont="1" applyFill="1" applyBorder="1" applyAlignment="1">
      <alignment horizontal="center" vertical="center"/>
    </xf>
    <xf numFmtId="3" fontId="60" fillId="0" borderId="0" xfId="0" applyNumberFormat="1" applyFont="1" applyAlignment="1">
      <alignment vertical="center"/>
    </xf>
    <xf numFmtId="0" fontId="50" fillId="2" borderId="1" xfId="0" applyFont="1" applyFill="1" applyBorder="1" applyAlignment="1">
      <alignment horizontal="left" vertical="center" wrapText="1"/>
    </xf>
    <xf numFmtId="0" fontId="51" fillId="3" borderId="1" xfId="0" applyFont="1" applyFill="1" applyBorder="1" applyAlignment="1">
      <alignment horizontal="left" vertical="center" wrapText="1"/>
    </xf>
    <xf numFmtId="3" fontId="60" fillId="0" borderId="1" xfId="0" applyNumberFormat="1" applyFont="1" applyBorder="1" applyAlignment="1">
      <alignment horizontal="center" vertical="center" wrapText="1"/>
    </xf>
    <xf numFmtId="0" fontId="51" fillId="0" borderId="1" xfId="0" applyFont="1" applyBorder="1" applyAlignment="1">
      <alignment horizontal="left" vertical="center" wrapText="1"/>
    </xf>
    <xf numFmtId="0" fontId="60" fillId="2" borderId="1" xfId="0" applyFont="1" applyFill="1" applyBorder="1" applyAlignment="1">
      <alignment horizontal="center" vertical="center" wrapText="1"/>
    </xf>
    <xf numFmtId="0" fontId="50" fillId="3" borderId="1" xfId="0" applyFont="1" applyFill="1" applyBorder="1" applyAlignment="1">
      <alignment horizontal="left" vertical="center" wrapText="1"/>
    </xf>
    <xf numFmtId="0" fontId="50" fillId="0" borderId="1" xfId="0" applyFont="1" applyBorder="1" applyAlignment="1">
      <alignment horizontal="left" vertical="center" wrapText="1"/>
    </xf>
    <xf numFmtId="3" fontId="50" fillId="2" borderId="1" xfId="0" applyNumberFormat="1" applyFont="1" applyFill="1" applyBorder="1" applyAlignment="1">
      <alignment horizontal="left" vertical="center" wrapText="1"/>
    </xf>
    <xf numFmtId="0" fontId="50" fillId="2"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3" fontId="51" fillId="0" borderId="0" xfId="4" applyNumberFormat="1" applyFont="1" applyAlignment="1">
      <alignment vertical="center"/>
    </xf>
    <xf numFmtId="0" fontId="51" fillId="3" borderId="1" xfId="0" applyFont="1" applyFill="1" applyBorder="1" applyAlignment="1">
      <alignment vertical="center" wrapText="1"/>
    </xf>
    <xf numFmtId="3" fontId="50" fillId="2" borderId="1" xfId="0" applyNumberFormat="1" applyFont="1" applyFill="1" applyBorder="1" applyAlignment="1">
      <alignment horizontal="center" vertical="center" wrapText="1"/>
    </xf>
    <xf numFmtId="0" fontId="51" fillId="2" borderId="1" xfId="1" applyFont="1" applyFill="1" applyBorder="1" applyAlignment="1">
      <alignment horizontal="center" vertical="center"/>
    </xf>
    <xf numFmtId="3" fontId="62" fillId="2" borderId="1" xfId="0" applyNumberFormat="1" applyFont="1" applyFill="1" applyBorder="1" applyAlignment="1">
      <alignment horizontal="left" vertical="center" wrapText="1"/>
    </xf>
    <xf numFmtId="0" fontId="50" fillId="0" borderId="1" xfId="1" applyFont="1" applyBorder="1" applyAlignment="1">
      <alignment horizontal="center" vertical="center"/>
    </xf>
    <xf numFmtId="3" fontId="50" fillId="3" borderId="1" xfId="0" applyNumberFormat="1" applyFont="1" applyFill="1" applyBorder="1" applyAlignment="1">
      <alignment horizontal="left" vertical="center" wrapText="1"/>
    </xf>
    <xf numFmtId="0" fontId="50" fillId="2" borderId="1" xfId="1" applyFont="1" applyFill="1" applyBorder="1" applyAlignment="1">
      <alignment horizontal="center" vertical="center"/>
    </xf>
    <xf numFmtId="0" fontId="51" fillId="3" borderId="1" xfId="1" applyFont="1" applyFill="1" applyBorder="1" applyAlignment="1">
      <alignment horizontal="center" vertical="center"/>
    </xf>
    <xf numFmtId="3" fontId="51" fillId="3" borderId="1" xfId="0" applyNumberFormat="1" applyFont="1" applyFill="1" applyBorder="1" applyAlignment="1">
      <alignment horizontal="left" vertical="center" wrapText="1"/>
    </xf>
    <xf numFmtId="49" fontId="51" fillId="3" borderId="1" xfId="1" applyNumberFormat="1" applyFont="1" applyFill="1" applyBorder="1" applyAlignment="1">
      <alignment horizontal="center" vertical="center"/>
    </xf>
    <xf numFmtId="0" fontId="50" fillId="0" borderId="1" xfId="0" applyFont="1" applyBorder="1" applyAlignment="1">
      <alignment horizontal="center" vertical="center"/>
    </xf>
    <xf numFmtId="3" fontId="51" fillId="0" borderId="0" xfId="0" applyNumberFormat="1" applyFont="1" applyAlignment="1">
      <alignment horizontal="center" vertical="center"/>
    </xf>
    <xf numFmtId="49" fontId="64" fillId="3" borderId="1" xfId="12" applyNumberFormat="1" applyFont="1" applyFill="1" applyBorder="1" applyAlignment="1">
      <alignment horizontal="left" vertical="center" wrapText="1"/>
    </xf>
    <xf numFmtId="3" fontId="53" fillId="0" borderId="5" xfId="6" applyNumberFormat="1" applyFont="1" applyBorder="1" applyAlignment="1">
      <alignment vertical="center" wrapText="1"/>
    </xf>
    <xf numFmtId="3" fontId="53" fillId="3" borderId="5" xfId="6" applyNumberFormat="1" applyFont="1" applyFill="1" applyBorder="1" applyAlignment="1">
      <alignment vertical="center" wrapText="1"/>
    </xf>
    <xf numFmtId="0" fontId="53" fillId="0" borderId="5" xfId="1" applyFont="1" applyBorder="1" applyAlignment="1">
      <alignment vertical="center"/>
    </xf>
    <xf numFmtId="0" fontId="53" fillId="0" borderId="27" xfId="0" applyFont="1" applyBorder="1"/>
    <xf numFmtId="49" fontId="44" fillId="0" borderId="1" xfId="0" applyNumberFormat="1" applyFont="1" applyBorder="1" applyAlignment="1" applyProtection="1">
      <alignment horizontal="left" vertical="center" wrapText="1"/>
      <protection locked="0"/>
    </xf>
    <xf numFmtId="0" fontId="65" fillId="0" borderId="1" xfId="1" applyFont="1" applyBorder="1" applyAlignment="1">
      <alignment horizontal="center" vertical="center" wrapText="1"/>
    </xf>
    <xf numFmtId="3" fontId="66" fillId="2" borderId="1" xfId="0" applyNumberFormat="1" applyFont="1" applyFill="1" applyBorder="1" applyAlignment="1" applyProtection="1">
      <alignment horizontal="right" vertical="center"/>
      <protection locked="0"/>
    </xf>
    <xf numFmtId="3" fontId="66" fillId="2" borderId="1" xfId="7" applyNumberFormat="1" applyFont="1" applyFill="1" applyBorder="1" applyAlignment="1" applyProtection="1">
      <alignment vertical="center"/>
      <protection locked="0"/>
    </xf>
    <xf numFmtId="3" fontId="66" fillId="2" borderId="1" xfId="5" applyNumberFormat="1" applyFont="1" applyFill="1" applyBorder="1" applyAlignment="1" applyProtection="1">
      <alignment vertical="center"/>
      <protection locked="0"/>
    </xf>
    <xf numFmtId="3" fontId="66" fillId="2" borderId="1" xfId="5" applyNumberFormat="1" applyFont="1" applyFill="1" applyBorder="1" applyAlignment="1" applyProtection="1">
      <alignment vertical="center" wrapText="1"/>
      <protection locked="0"/>
    </xf>
    <xf numFmtId="3" fontId="65" fillId="4" borderId="4" xfId="0" applyNumberFormat="1" applyFont="1" applyFill="1" applyBorder="1" applyAlignment="1" applyProtection="1">
      <alignment vertical="center"/>
      <protection locked="0"/>
    </xf>
    <xf numFmtId="3" fontId="65" fillId="4" borderId="1" xfId="0" applyNumberFormat="1" applyFont="1" applyFill="1" applyBorder="1" applyAlignment="1" applyProtection="1">
      <alignment horizontal="right" vertical="center"/>
      <protection locked="0"/>
    </xf>
    <xf numFmtId="3" fontId="65" fillId="4" borderId="1" xfId="7" applyNumberFormat="1" applyFont="1" applyFill="1" applyBorder="1" applyAlignment="1" applyProtection="1">
      <alignment vertical="center"/>
      <protection locked="0"/>
    </xf>
    <xf numFmtId="3" fontId="65" fillId="4" borderId="1" xfId="5" applyNumberFormat="1" applyFont="1" applyFill="1" applyBorder="1" applyAlignment="1" applyProtection="1">
      <alignment vertical="center"/>
      <protection locked="0"/>
    </xf>
    <xf numFmtId="3" fontId="65" fillId="4" borderId="1" xfId="5" applyNumberFormat="1" applyFont="1" applyFill="1" applyBorder="1" applyAlignment="1" applyProtection="1">
      <alignment vertical="center" wrapText="1"/>
      <protection locked="0"/>
    </xf>
    <xf numFmtId="0" fontId="66" fillId="0" borderId="1" xfId="1" applyFont="1" applyBorder="1" applyAlignment="1">
      <alignment vertical="center"/>
    </xf>
    <xf numFmtId="3" fontId="65" fillId="0" borderId="3" xfId="0" applyNumberFormat="1" applyFont="1" applyBorder="1" applyAlignment="1" applyProtection="1">
      <alignment horizontal="right" vertical="center"/>
      <protection locked="0"/>
    </xf>
    <xf numFmtId="3" fontId="65" fillId="0" borderId="1" xfId="7" applyNumberFormat="1" applyFont="1" applyBorder="1" applyAlignment="1" applyProtection="1">
      <alignment vertical="center"/>
      <protection locked="0"/>
    </xf>
    <xf numFmtId="3" fontId="65" fillId="0" borderId="1" xfId="5" applyNumberFormat="1" applyFont="1" applyBorder="1" applyAlignment="1" applyProtection="1">
      <alignment vertical="center"/>
      <protection locked="0"/>
    </xf>
    <xf numFmtId="3" fontId="65" fillId="0" borderId="1" xfId="5" applyNumberFormat="1" applyFont="1" applyBorder="1" applyAlignment="1" applyProtection="1">
      <alignment vertical="center" wrapText="1"/>
      <protection locked="0"/>
    </xf>
    <xf numFmtId="3" fontId="66" fillId="0" borderId="3" xfId="0" applyNumberFormat="1" applyFont="1" applyBorder="1" applyAlignment="1" applyProtection="1">
      <alignment horizontal="right" vertical="center"/>
      <protection locked="0"/>
    </xf>
    <xf numFmtId="3" fontId="66" fillId="0" borderId="1" xfId="7" applyNumberFormat="1" applyFont="1" applyBorder="1" applyAlignment="1" applyProtection="1">
      <alignment vertical="center"/>
      <protection locked="0"/>
    </xf>
    <xf numFmtId="3" fontId="66" fillId="0" borderId="1" xfId="5" applyNumberFormat="1" applyFont="1" applyBorder="1" applyAlignment="1" applyProtection="1">
      <alignment vertical="center"/>
      <protection locked="0"/>
    </xf>
    <xf numFmtId="3" fontId="66" fillId="0" borderId="1" xfId="5" applyNumberFormat="1" applyFont="1" applyBorder="1" applyAlignment="1" applyProtection="1">
      <alignment vertical="center" wrapText="1"/>
      <protection locked="0"/>
    </xf>
    <xf numFmtId="3" fontId="65" fillId="4" borderId="1" xfId="0" applyNumberFormat="1" applyFont="1" applyFill="1" applyBorder="1" applyAlignment="1" applyProtection="1">
      <alignment vertical="center"/>
      <protection locked="0"/>
    </xf>
    <xf numFmtId="3" fontId="66" fillId="0" borderId="1" xfId="0" applyNumberFormat="1" applyFont="1" applyBorder="1" applyAlignment="1" applyProtection="1">
      <alignment vertical="center"/>
      <protection locked="0"/>
    </xf>
    <xf numFmtId="3" fontId="66" fillId="0" borderId="1" xfId="0" applyNumberFormat="1" applyFont="1" applyBorder="1" applyAlignment="1" applyProtection="1">
      <alignment horizontal="right" vertical="center"/>
      <protection locked="0"/>
    </xf>
    <xf numFmtId="0" fontId="59" fillId="0" borderId="1" xfId="1" applyFont="1" applyBorder="1" applyAlignment="1">
      <alignment vertical="center"/>
    </xf>
    <xf numFmtId="3" fontId="66" fillId="0" borderId="3" xfId="0" applyNumberFormat="1" applyFont="1" applyBorder="1" applyAlignment="1" applyProtection="1">
      <alignment horizontal="center" vertical="center"/>
      <protection locked="0"/>
    </xf>
    <xf numFmtId="0" fontId="66" fillId="0" borderId="1" xfId="0" applyFont="1" applyBorder="1" applyAlignment="1">
      <alignment vertical="center" wrapText="1"/>
    </xf>
    <xf numFmtId="3" fontId="66" fillId="0" borderId="1" xfId="0" applyNumberFormat="1" applyFont="1" applyBorder="1" applyAlignment="1">
      <alignment horizontal="center" vertical="center" wrapText="1"/>
    </xf>
    <xf numFmtId="3" fontId="65" fillId="0" borderId="1" xfId="0" applyNumberFormat="1" applyFont="1" applyBorder="1" applyAlignment="1" applyProtection="1">
      <alignment horizontal="right" vertical="center"/>
      <protection locked="0"/>
    </xf>
    <xf numFmtId="3" fontId="65" fillId="0" borderId="1" xfId="0" applyNumberFormat="1" applyFont="1" applyBorder="1" applyAlignment="1" applyProtection="1">
      <alignment horizontal="center" vertical="center"/>
      <protection locked="0"/>
    </xf>
    <xf numFmtId="3" fontId="65" fillId="2" borderId="1" xfId="1" applyNumberFormat="1" applyFont="1" applyFill="1" applyBorder="1" applyAlignment="1">
      <alignment vertical="center" wrapText="1"/>
    </xf>
    <xf numFmtId="3" fontId="66" fillId="0" borderId="1" xfId="1" applyNumberFormat="1" applyFont="1" applyBorder="1" applyAlignment="1">
      <alignment vertical="center" wrapText="1"/>
    </xf>
    <xf numFmtId="3" fontId="66" fillId="0" borderId="1" xfId="1" applyNumberFormat="1" applyFont="1" applyBorder="1" applyAlignment="1">
      <alignment vertical="center"/>
    </xf>
    <xf numFmtId="3" fontId="65" fillId="2" borderId="1" xfId="1" applyNumberFormat="1" applyFont="1" applyFill="1" applyBorder="1" applyAlignment="1">
      <alignment vertical="center"/>
    </xf>
    <xf numFmtId="3" fontId="65" fillId="0" borderId="1" xfId="1" applyNumberFormat="1" applyFont="1" applyBorder="1" applyAlignment="1">
      <alignment vertical="center"/>
    </xf>
    <xf numFmtId="3" fontId="65" fillId="0" borderId="1" xfId="1" applyNumberFormat="1" applyFont="1" applyBorder="1" applyAlignment="1">
      <alignment horizontal="center" vertical="center"/>
    </xf>
    <xf numFmtId="0" fontId="59" fillId="0" borderId="0" xfId="1" applyFont="1" applyAlignment="1">
      <alignment vertical="center"/>
    </xf>
    <xf numFmtId="3" fontId="67" fillId="2" borderId="1" xfId="1" applyNumberFormat="1" applyFont="1" applyFill="1" applyBorder="1" applyAlignment="1">
      <alignment vertical="center"/>
    </xf>
    <xf numFmtId="3" fontId="67" fillId="2" borderId="1" xfId="1" applyNumberFormat="1" applyFont="1" applyFill="1" applyBorder="1" applyAlignment="1">
      <alignment vertical="center" wrapText="1"/>
    </xf>
    <xf numFmtId="0" fontId="59" fillId="0" borderId="0" xfId="1" applyFont="1" applyAlignment="1">
      <alignment vertical="center" wrapText="1"/>
    </xf>
    <xf numFmtId="0" fontId="42" fillId="0" borderId="0" xfId="0" applyFont="1" applyAlignment="1" applyProtection="1">
      <alignment wrapText="1"/>
      <protection locked="0"/>
    </xf>
    <xf numFmtId="0" fontId="42" fillId="0" borderId="0" xfId="0" applyFont="1" applyAlignment="1">
      <alignment wrapText="1"/>
    </xf>
    <xf numFmtId="3" fontId="51" fillId="0" borderId="0" xfId="0" applyNumberFormat="1" applyFont="1" applyAlignment="1">
      <alignment horizontal="left" vertical="center" wrapText="1"/>
    </xf>
    <xf numFmtId="3" fontId="53" fillId="0" borderId="1" xfId="0" applyNumberFormat="1" applyFont="1" applyBorder="1" applyAlignment="1" applyProtection="1">
      <alignment horizontal="right" vertical="center"/>
      <protection locked="0"/>
    </xf>
    <xf numFmtId="3" fontId="60" fillId="6" borderId="1" xfId="0" applyNumberFormat="1" applyFont="1" applyFill="1" applyBorder="1" applyAlignment="1">
      <alignment horizontal="center" vertical="center" wrapText="1"/>
    </xf>
    <xf numFmtId="166" fontId="60" fillId="6" borderId="1" xfId="12" applyNumberFormat="1" applyFont="1" applyFill="1" applyBorder="1" applyAlignment="1" applyProtection="1">
      <alignment horizontal="center" vertical="center" wrapText="1"/>
    </xf>
    <xf numFmtId="3" fontId="51" fillId="0" borderId="0" xfId="0" applyNumberFormat="1" applyFont="1" applyAlignment="1">
      <alignment vertical="center" wrapText="1"/>
    </xf>
    <xf numFmtId="49" fontId="51" fillId="0" borderId="1" xfId="0" applyNumberFormat="1" applyFont="1" applyBorder="1" applyAlignment="1">
      <alignment horizontal="center" vertical="center"/>
    </xf>
    <xf numFmtId="3" fontId="51" fillId="0" borderId="1" xfId="0" applyNumberFormat="1" applyFont="1" applyBorder="1" applyAlignment="1">
      <alignment horizontal="left" vertical="center" wrapText="1"/>
    </xf>
    <xf numFmtId="3" fontId="50" fillId="3" borderId="1" xfId="1" applyNumberFormat="1" applyFont="1" applyFill="1" applyBorder="1" applyAlignment="1">
      <alignment horizontal="left" vertical="center" wrapText="1"/>
    </xf>
    <xf numFmtId="3" fontId="50" fillId="0" borderId="1" xfId="1" applyNumberFormat="1" applyFont="1" applyBorder="1" applyAlignment="1">
      <alignment horizontal="left" vertical="center" wrapText="1"/>
    </xf>
    <xf numFmtId="0" fontId="50" fillId="2" borderId="1" xfId="0" applyFont="1" applyFill="1" applyBorder="1" applyAlignment="1">
      <alignment vertical="center" wrapText="1"/>
    </xf>
    <xf numFmtId="0" fontId="50" fillId="3" borderId="1" xfId="0" applyFont="1" applyFill="1" applyBorder="1" applyAlignment="1">
      <alignment vertical="center" wrapText="1"/>
    </xf>
    <xf numFmtId="0" fontId="51" fillId="2" borderId="1" xfId="0" applyFont="1" applyFill="1" applyBorder="1" applyAlignment="1">
      <alignment horizontal="left" vertical="center" wrapText="1"/>
    </xf>
    <xf numFmtId="3" fontId="50" fillId="0" borderId="1" xfId="0" applyNumberFormat="1" applyFont="1" applyBorder="1" applyAlignment="1">
      <alignment horizontal="left" vertical="center" wrapText="1"/>
    </xf>
    <xf numFmtId="3" fontId="53" fillId="0" borderId="1" xfId="0" applyNumberFormat="1" applyFont="1" applyBorder="1" applyAlignment="1" applyProtection="1">
      <alignment vertical="center"/>
      <protection locked="0"/>
    </xf>
    <xf numFmtId="3" fontId="52" fillId="4" borderId="1" xfId="0" applyNumberFormat="1" applyFont="1" applyFill="1" applyBorder="1" applyAlignment="1" applyProtection="1">
      <alignment horizontal="center" vertical="center"/>
      <protection locked="0"/>
    </xf>
    <xf numFmtId="3" fontId="60" fillId="0" borderId="23" xfId="0" applyNumberFormat="1" applyFont="1" applyBorder="1" applyAlignment="1">
      <alignment horizontal="left" vertical="center" wrapText="1"/>
    </xf>
    <xf numFmtId="3" fontId="60" fillId="0" borderId="1" xfId="0" applyNumberFormat="1" applyFont="1" applyBorder="1" applyAlignment="1" applyProtection="1">
      <alignment horizontal="left" vertical="center" wrapText="1"/>
      <protection locked="0"/>
    </xf>
    <xf numFmtId="3" fontId="51" fillId="0" borderId="1" xfId="0" applyNumberFormat="1" applyFont="1" applyBorder="1" applyAlignment="1" applyProtection="1">
      <alignment horizontal="left" vertical="center" wrapText="1"/>
      <protection locked="0"/>
    </xf>
    <xf numFmtId="3" fontId="60" fillId="0" borderId="23" xfId="0" applyNumberFormat="1" applyFont="1" applyBorder="1" applyAlignment="1">
      <alignment vertical="center" wrapText="1"/>
    </xf>
    <xf numFmtId="3" fontId="51" fillId="3" borderId="1" xfId="0" applyNumberFormat="1" applyFont="1" applyFill="1" applyBorder="1" applyAlignment="1">
      <alignment vertical="center" wrapText="1"/>
    </xf>
    <xf numFmtId="3" fontId="51" fillId="2" borderId="1" xfId="0" applyNumberFormat="1" applyFont="1" applyFill="1" applyBorder="1" applyAlignment="1">
      <alignment vertical="center" wrapText="1"/>
    </xf>
    <xf numFmtId="3" fontId="60" fillId="0" borderId="23" xfId="0" applyNumberFormat="1" applyFont="1" applyBorder="1" applyAlignment="1" applyProtection="1">
      <alignment horizontal="left" vertical="center" wrapText="1"/>
      <protection locked="0"/>
    </xf>
    <xf numFmtId="3" fontId="51" fillId="6" borderId="1" xfId="0" applyNumberFormat="1" applyFont="1" applyFill="1" applyBorder="1" applyAlignment="1">
      <alignment vertical="center" wrapText="1"/>
    </xf>
    <xf numFmtId="3" fontId="50" fillId="0" borderId="1" xfId="0" applyNumberFormat="1" applyFont="1" applyBorder="1" applyAlignment="1">
      <alignment vertical="center"/>
    </xf>
    <xf numFmtId="0" fontId="50" fillId="0" borderId="1" xfId="0" applyFont="1" applyBorder="1" applyAlignment="1">
      <alignment horizontal="justify" vertical="center"/>
    </xf>
    <xf numFmtId="0" fontId="51" fillId="0" borderId="1" xfId="0" applyFont="1" applyBorder="1" applyAlignment="1">
      <alignment vertical="center" wrapText="1"/>
    </xf>
    <xf numFmtId="3" fontId="60" fillId="0" borderId="1" xfId="0" applyNumberFormat="1" applyFont="1" applyBorder="1" applyAlignment="1">
      <alignment vertical="center" wrapText="1"/>
    </xf>
    <xf numFmtId="3" fontId="57" fillId="0" borderId="1" xfId="0" applyNumberFormat="1" applyFont="1" applyBorder="1" applyAlignment="1" applyProtection="1">
      <alignment horizontal="left" vertical="center" wrapText="1"/>
      <protection locked="0"/>
    </xf>
    <xf numFmtId="3" fontId="51" fillId="0" borderId="1" xfId="0" applyNumberFormat="1" applyFont="1" applyBorder="1" applyAlignment="1" applyProtection="1">
      <alignment vertical="center" wrapText="1"/>
      <protection locked="0"/>
    </xf>
    <xf numFmtId="49" fontId="47" fillId="0" borderId="0" xfId="1467" applyNumberFormat="1" applyFont="1" applyAlignment="1">
      <alignment horizontal="center" vertical="center"/>
    </xf>
    <xf numFmtId="9" fontId="42" fillId="0" borderId="2" xfId="12" applyFont="1" applyBorder="1" applyAlignment="1">
      <alignment horizontal="center" vertical="center" wrapText="1"/>
    </xf>
    <xf numFmtId="3" fontId="42" fillId="3" borderId="6" xfId="0" applyNumberFormat="1" applyFont="1" applyFill="1" applyBorder="1" applyAlignment="1" applyProtection="1">
      <alignment horizontal="right" vertical="center"/>
      <protection locked="0"/>
    </xf>
    <xf numFmtId="0" fontId="42" fillId="3" borderId="1" xfId="6" applyFont="1" applyFill="1" applyBorder="1" applyAlignment="1" applyProtection="1">
      <alignment horizontal="center" vertical="center"/>
      <protection locked="0"/>
    </xf>
    <xf numFmtId="0" fontId="42" fillId="0" borderId="2" xfId="0" applyFont="1" applyBorder="1" applyAlignment="1">
      <alignment horizontal="center" vertical="center" wrapText="1"/>
    </xf>
    <xf numFmtId="0" fontId="42" fillId="0" borderId="2" xfId="0" applyFont="1" applyBorder="1" applyAlignment="1" applyProtection="1">
      <alignment horizontal="center" vertical="center" wrapText="1"/>
      <protection locked="0"/>
    </xf>
    <xf numFmtId="3" fontId="42" fillId="3" borderId="1" xfId="6" applyNumberFormat="1" applyFont="1" applyFill="1" applyBorder="1" applyAlignment="1">
      <alignment vertical="center"/>
    </xf>
    <xf numFmtId="4" fontId="42" fillId="3" borderId="1" xfId="6" applyNumberFormat="1" applyFont="1" applyFill="1" applyBorder="1" applyAlignment="1" applyProtection="1">
      <alignment vertical="center"/>
      <protection locked="0"/>
    </xf>
    <xf numFmtId="1" fontId="43" fillId="2" borderId="1" xfId="6" applyNumberFormat="1" applyFont="1" applyFill="1" applyBorder="1" applyAlignment="1">
      <alignment horizontal="right" vertical="center" wrapText="1"/>
    </xf>
    <xf numFmtId="1" fontId="42" fillId="3" borderId="1" xfId="0" applyNumberFormat="1" applyFont="1" applyFill="1" applyBorder="1" applyAlignment="1" applyProtection="1">
      <alignment vertical="center"/>
      <protection locked="0"/>
    </xf>
    <xf numFmtId="1" fontId="42" fillId="3" borderId="1" xfId="6" applyNumberFormat="1" applyFont="1" applyFill="1" applyBorder="1" applyAlignment="1" applyProtection="1">
      <alignment vertical="center"/>
      <protection locked="0"/>
    </xf>
    <xf numFmtId="4" fontId="42" fillId="0" borderId="1" xfId="6" applyNumberFormat="1" applyFont="1" applyBorder="1" applyAlignment="1" applyProtection="1">
      <alignment horizontal="right" vertical="center"/>
      <protection locked="0"/>
    </xf>
    <xf numFmtId="0" fontId="42" fillId="0" borderId="0" xfId="0" applyFont="1" applyAlignment="1">
      <alignment horizontal="right" vertical="center"/>
    </xf>
    <xf numFmtId="3" fontId="42" fillId="5" borderId="5" xfId="0" applyNumberFormat="1" applyFont="1" applyFill="1" applyBorder="1" applyAlignment="1">
      <alignment horizontal="center" vertical="center" wrapText="1"/>
    </xf>
    <xf numFmtId="3" fontId="42" fillId="0" borderId="8" xfId="0" applyNumberFormat="1" applyFont="1" applyBorder="1" applyAlignment="1">
      <alignment horizontal="center" vertical="center" wrapText="1"/>
    </xf>
    <xf numFmtId="3" fontId="43" fillId="34" borderId="1" xfId="0" applyNumberFormat="1" applyFont="1" applyFill="1" applyBorder="1" applyAlignment="1">
      <alignment vertical="center"/>
    </xf>
    <xf numFmtId="3" fontId="42" fillId="34" borderId="1" xfId="0" applyNumberFormat="1" applyFont="1" applyFill="1" applyBorder="1" applyAlignment="1">
      <alignment vertical="center"/>
    </xf>
    <xf numFmtId="0" fontId="42" fillId="35" borderId="1" xfId="0" applyFont="1" applyFill="1" applyBorder="1" applyAlignment="1">
      <alignment vertical="center"/>
    </xf>
    <xf numFmtId="3" fontId="42" fillId="35" borderId="1" xfId="0" applyNumberFormat="1" applyFont="1" applyFill="1" applyBorder="1" applyAlignment="1">
      <alignment vertical="center"/>
    </xf>
    <xf numFmtId="0" fontId="42" fillId="0" borderId="1" xfId="0" applyFont="1" applyBorder="1" applyAlignment="1">
      <alignment vertical="center"/>
    </xf>
    <xf numFmtId="0" fontId="51" fillId="35" borderId="1" xfId="0" applyFont="1" applyFill="1" applyBorder="1" applyAlignment="1">
      <alignment horizontal="right" vertical="center" wrapText="1"/>
    </xf>
    <xf numFmtId="0" fontId="50" fillId="34" borderId="1" xfId="0" applyFont="1" applyFill="1" applyBorder="1" applyAlignment="1">
      <alignment horizontal="right" vertical="center" wrapText="1"/>
    </xf>
    <xf numFmtId="0" fontId="50" fillId="35" borderId="1" xfId="0" applyFont="1" applyFill="1" applyBorder="1" applyAlignment="1">
      <alignment horizontal="right" vertical="center" wrapText="1"/>
    </xf>
    <xf numFmtId="0" fontId="51" fillId="34" borderId="1" xfId="0" applyFont="1" applyFill="1" applyBorder="1" applyAlignment="1">
      <alignment horizontal="right" vertical="center" wrapText="1"/>
    </xf>
    <xf numFmtId="3" fontId="51" fillId="33" borderId="1" xfId="0" applyNumberFormat="1" applyFont="1" applyFill="1" applyBorder="1" applyAlignment="1">
      <alignment vertical="center" wrapText="1"/>
    </xf>
    <xf numFmtId="0" fontId="69" fillId="36" borderId="1" xfId="0" applyFont="1" applyFill="1" applyBorder="1" applyAlignment="1">
      <alignment horizontal="center" vertical="center" wrapText="1"/>
    </xf>
    <xf numFmtId="0" fontId="69" fillId="36" borderId="1" xfId="0" applyFont="1" applyFill="1" applyBorder="1" applyAlignment="1">
      <alignment horizontal="left" vertical="center" wrapText="1"/>
    </xf>
    <xf numFmtId="3" fontId="69" fillId="36" borderId="1" xfId="0" applyNumberFormat="1" applyFont="1" applyFill="1" applyBorder="1" applyAlignment="1">
      <alignment horizontal="right" vertical="center" wrapText="1"/>
    </xf>
    <xf numFmtId="0" fontId="69" fillId="36" borderId="1" xfId="0" applyFont="1" applyFill="1" applyBorder="1" applyAlignment="1">
      <alignment horizontal="right" vertical="center" wrapText="1"/>
    </xf>
    <xf numFmtId="0" fontId="36" fillId="2" borderId="1" xfId="0" applyFont="1" applyFill="1" applyBorder="1"/>
    <xf numFmtId="0" fontId="36" fillId="0" borderId="1" xfId="0" applyFont="1" applyBorder="1" applyAlignment="1">
      <alignment horizontal="left" vertical="center" wrapText="1"/>
    </xf>
    <xf numFmtId="0" fontId="36" fillId="0" borderId="1" xfId="0" applyFont="1" applyBorder="1" applyAlignment="1">
      <alignment horizontal="right" vertical="center" wrapText="1"/>
    </xf>
    <xf numFmtId="0" fontId="36" fillId="35" borderId="1" xfId="0" applyFont="1" applyFill="1" applyBorder="1" applyAlignment="1">
      <alignment horizontal="center" vertical="center" wrapText="1"/>
    </xf>
    <xf numFmtId="0" fontId="36" fillId="35" borderId="1" xfId="0" applyFont="1" applyFill="1" applyBorder="1" applyAlignment="1">
      <alignment horizontal="left" vertical="center" wrapText="1"/>
    </xf>
    <xf numFmtId="3" fontId="36" fillId="0" borderId="1" xfId="0" applyNumberFormat="1" applyFont="1" applyBorder="1" applyAlignment="1">
      <alignment horizontal="right" vertical="center" wrapText="1"/>
    </xf>
    <xf numFmtId="0" fontId="36" fillId="0" borderId="1" xfId="0" applyFont="1" applyBorder="1" applyAlignment="1">
      <alignment horizontal="right" vertical="center"/>
    </xf>
    <xf numFmtId="3" fontId="36" fillId="0" borderId="1" xfId="0" applyNumberFormat="1" applyFont="1" applyBorder="1" applyAlignment="1">
      <alignment horizontal="right" vertical="center"/>
    </xf>
    <xf numFmtId="0" fontId="36" fillId="0" borderId="1" xfId="0" applyFont="1" applyBorder="1" applyAlignment="1">
      <alignment horizontal="left" vertical="center" wrapText="1" indent="1"/>
    </xf>
    <xf numFmtId="0" fontId="36" fillId="0" borderId="1" xfId="0" applyFont="1" applyBorder="1" applyAlignment="1">
      <alignment vertical="center" wrapText="1"/>
    </xf>
    <xf numFmtId="0" fontId="36" fillId="35" borderId="1" xfId="0" applyFont="1" applyFill="1" applyBorder="1" applyAlignment="1">
      <alignment horizontal="left" vertical="center" wrapText="1" indent="1"/>
    </xf>
    <xf numFmtId="0" fontId="69" fillId="37" borderId="1" xfId="0" applyFont="1" applyFill="1" applyBorder="1" applyAlignment="1">
      <alignment horizontal="center" vertical="center" wrapText="1"/>
    </xf>
    <xf numFmtId="0" fontId="69" fillId="37" borderId="1" xfId="0" applyFont="1" applyFill="1" applyBorder="1" applyAlignment="1">
      <alignment horizontal="left" vertical="center" wrapText="1"/>
    </xf>
    <xf numFmtId="3" fontId="69" fillId="37" borderId="1" xfId="0" applyNumberFormat="1" applyFont="1" applyFill="1" applyBorder="1" applyAlignment="1">
      <alignment horizontal="right"/>
    </xf>
    <xf numFmtId="0" fontId="36" fillId="33" borderId="1" xfId="0" applyFont="1" applyFill="1" applyBorder="1"/>
    <xf numFmtId="4" fontId="51" fillId="3" borderId="1" xfId="0" applyNumberFormat="1" applyFont="1" applyFill="1" applyBorder="1" applyAlignment="1">
      <alignment vertical="center" wrapText="1"/>
    </xf>
    <xf numFmtId="3" fontId="42" fillId="3" borderId="1" xfId="6" applyNumberFormat="1" applyFont="1" applyFill="1" applyBorder="1" applyAlignment="1">
      <alignment horizontal="center" vertical="center"/>
    </xf>
    <xf numFmtId="3" fontId="42" fillId="3" borderId="1" xfId="6" applyNumberFormat="1" applyFont="1" applyFill="1" applyBorder="1" applyAlignment="1" applyProtection="1">
      <alignment horizontal="center" vertical="center"/>
      <protection locked="0"/>
    </xf>
    <xf numFmtId="9" fontId="42" fillId="0" borderId="2" xfId="12" applyFont="1" applyBorder="1" applyAlignment="1">
      <alignment horizontal="right" vertical="center" wrapText="1"/>
    </xf>
    <xf numFmtId="9" fontId="36" fillId="2" borderId="1" xfId="0" applyNumberFormat="1" applyFont="1" applyFill="1" applyBorder="1"/>
    <xf numFmtId="3" fontId="59" fillId="0" borderId="1" xfId="1" applyNumberFormat="1" applyFont="1" applyBorder="1" applyAlignment="1">
      <alignment vertical="center"/>
    </xf>
    <xf numFmtId="0" fontId="59" fillId="0" borderId="1" xfId="1" applyFont="1" applyBorder="1" applyAlignment="1">
      <alignment horizontal="right"/>
    </xf>
    <xf numFmtId="3" fontId="66" fillId="0" borderId="3" xfId="0" applyNumberFormat="1" applyFont="1" applyBorder="1" applyAlignment="1" applyProtection="1">
      <alignment vertical="center"/>
      <protection locked="0"/>
    </xf>
    <xf numFmtId="3" fontId="70" fillId="0" borderId="1" xfId="6" applyNumberFormat="1" applyFont="1" applyBorder="1" applyAlignment="1">
      <alignment vertical="center" wrapText="1"/>
    </xf>
    <xf numFmtId="3" fontId="42" fillId="0" borderId="0" xfId="0" applyNumberFormat="1" applyFont="1"/>
    <xf numFmtId="0" fontId="41" fillId="0" borderId="0" xfId="0" applyFont="1" applyAlignment="1">
      <alignment vertical="center" wrapText="1"/>
    </xf>
    <xf numFmtId="0" fontId="41" fillId="0" borderId="0" xfId="1467" applyFont="1" applyAlignment="1">
      <alignment vertical="center" wrapText="1"/>
    </xf>
    <xf numFmtId="0" fontId="48" fillId="0" borderId="0" xfId="1467" applyFont="1" applyAlignment="1" applyProtection="1">
      <alignment vertical="center" wrapText="1"/>
      <protection locked="0"/>
    </xf>
    <xf numFmtId="1" fontId="51" fillId="0" borderId="0" xfId="0" applyNumberFormat="1" applyFont="1" applyAlignment="1">
      <alignment vertical="center"/>
    </xf>
    <xf numFmtId="168" fontId="69" fillId="36" borderId="1" xfId="0" applyNumberFormat="1" applyFont="1" applyFill="1" applyBorder="1" applyAlignment="1">
      <alignment horizontal="right" vertical="center" wrapText="1"/>
    </xf>
    <xf numFmtId="1" fontId="36" fillId="2" borderId="1" xfId="0" applyNumberFormat="1" applyFont="1" applyFill="1" applyBorder="1"/>
    <xf numFmtId="168" fontId="36" fillId="0" borderId="1" xfId="0" applyNumberFormat="1" applyFont="1" applyBorder="1" applyAlignment="1">
      <alignment horizontal="right" vertical="center" wrapText="1"/>
    </xf>
    <xf numFmtId="0" fontId="36" fillId="38" borderId="1" xfId="0" applyFont="1" applyFill="1" applyBorder="1" applyAlignment="1">
      <alignment horizontal="center" vertical="center" wrapText="1"/>
    </xf>
    <xf numFmtId="0" fontId="36" fillId="38" borderId="1" xfId="0" applyFont="1" applyFill="1" applyBorder="1" applyAlignment="1">
      <alignment horizontal="left" vertical="center" wrapText="1"/>
    </xf>
    <xf numFmtId="3" fontId="36" fillId="4" borderId="1" xfId="0" applyNumberFormat="1" applyFont="1" applyFill="1" applyBorder="1" applyAlignment="1">
      <alignment horizontal="right" vertical="center" wrapText="1"/>
    </xf>
    <xf numFmtId="0" fontId="36" fillId="4" borderId="1" xfId="0" applyFont="1" applyFill="1" applyBorder="1" applyAlignment="1">
      <alignment horizontal="right" vertical="center" wrapText="1"/>
    </xf>
    <xf numFmtId="168" fontId="36" fillId="4" borderId="1" xfId="0" applyNumberFormat="1" applyFont="1" applyFill="1" applyBorder="1" applyAlignment="1">
      <alignment horizontal="right" vertical="center" wrapText="1"/>
    </xf>
    <xf numFmtId="3" fontId="36" fillId="4" borderId="1" xfId="0" applyNumberFormat="1" applyFont="1" applyFill="1" applyBorder="1" applyAlignment="1">
      <alignment horizontal="right" vertical="center"/>
    </xf>
    <xf numFmtId="0" fontId="36" fillId="4" borderId="1" xfId="0" applyFont="1" applyFill="1" applyBorder="1" applyAlignment="1">
      <alignment horizontal="center" vertical="center" wrapText="1"/>
    </xf>
    <xf numFmtId="0" fontId="36" fillId="4" borderId="1" xfId="0" applyFont="1" applyFill="1" applyBorder="1" applyAlignment="1">
      <alignment horizontal="left" vertical="center" wrapText="1"/>
    </xf>
    <xf numFmtId="0" fontId="36" fillId="35" borderId="1" xfId="0" applyFont="1" applyFill="1" applyBorder="1" applyAlignment="1">
      <alignment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3" fontId="53" fillId="0" borderId="1" xfId="7" applyNumberFormat="1" applyFont="1" applyBorder="1" applyAlignment="1" applyProtection="1">
      <alignment vertical="center"/>
      <protection locked="0"/>
    </xf>
    <xf numFmtId="0" fontId="0" fillId="0" borderId="1" xfId="0" applyBorder="1"/>
    <xf numFmtId="0" fontId="36" fillId="32" borderId="7" xfId="0" applyFont="1" applyFill="1" applyBorder="1" applyAlignment="1">
      <alignment vertical="top" wrapText="1"/>
    </xf>
    <xf numFmtId="0" fontId="36" fillId="32" borderId="8" xfId="0" applyFont="1" applyFill="1" applyBorder="1" applyAlignment="1">
      <alignment vertical="top" wrapText="1"/>
    </xf>
    <xf numFmtId="0" fontId="36" fillId="32" borderId="6" xfId="0" applyFont="1" applyFill="1" applyBorder="1" applyAlignment="1">
      <alignment vertical="top" wrapText="1"/>
    </xf>
    <xf numFmtId="0" fontId="36" fillId="32" borderId="28" xfId="0" applyFont="1" applyFill="1" applyBorder="1" applyAlignment="1">
      <alignment vertical="top" wrapText="1"/>
    </xf>
    <xf numFmtId="49" fontId="42" fillId="0" borderId="1" xfId="1" applyNumberFormat="1" applyFont="1" applyBorder="1" applyAlignment="1">
      <alignment vertical="center"/>
    </xf>
    <xf numFmtId="49" fontId="42" fillId="2" borderId="1" xfId="1" applyNumberFormat="1" applyFont="1" applyFill="1" applyBorder="1" applyAlignment="1" applyProtection="1">
      <alignment horizontal="left" vertical="center" wrapText="1"/>
      <protection locked="0"/>
    </xf>
    <xf numFmtId="49" fontId="42" fillId="0" borderId="23" xfId="1" applyNumberFormat="1" applyFont="1" applyBorder="1" applyAlignment="1">
      <alignment horizontal="left" vertical="center"/>
    </xf>
    <xf numFmtId="49" fontId="42" fillId="0" borderId="0" xfId="1" applyNumberFormat="1" applyFont="1" applyAlignment="1">
      <alignment horizontal="left" vertical="center"/>
    </xf>
    <xf numFmtId="3" fontId="41" fillId="0" borderId="0" xfId="1467" applyNumberFormat="1" applyFont="1" applyAlignment="1">
      <alignment vertical="center"/>
    </xf>
    <xf numFmtId="0" fontId="71" fillId="0" borderId="1" xfId="1467" applyFont="1" applyBorder="1" applyAlignment="1">
      <alignment horizontal="center" vertical="center"/>
    </xf>
    <xf numFmtId="3" fontId="71" fillId="0" borderId="1" xfId="0" applyNumberFormat="1" applyFont="1" applyBorder="1" applyAlignment="1">
      <alignment horizontal="center" vertical="center" wrapText="1"/>
    </xf>
    <xf numFmtId="3" fontId="72" fillId="5" borderId="1" xfId="0" applyNumberFormat="1" applyFont="1" applyFill="1" applyBorder="1" applyAlignment="1">
      <alignment horizontal="center" vertical="center" wrapText="1"/>
    </xf>
    <xf numFmtId="3" fontId="71" fillId="0" borderId="5" xfId="0" applyNumberFormat="1" applyFont="1" applyBorder="1" applyAlignment="1">
      <alignment horizontal="center" vertical="center" wrapText="1"/>
    </xf>
    <xf numFmtId="3" fontId="71" fillId="0" borderId="8" xfId="0" applyNumberFormat="1" applyFont="1" applyBorder="1" applyAlignment="1">
      <alignment horizontal="center" vertical="center" wrapText="1"/>
    </xf>
    <xf numFmtId="0" fontId="71" fillId="0" borderId="0" xfId="0" applyFont="1" applyAlignment="1">
      <alignment vertical="center"/>
    </xf>
    <xf numFmtId="0" fontId="71" fillId="0" borderId="1" xfId="0" applyFont="1" applyBorder="1" applyAlignment="1">
      <alignment horizontal="center" vertical="center"/>
    </xf>
    <xf numFmtId="0" fontId="74" fillId="7" borderId="1" xfId="6" applyFont="1" applyFill="1" applyBorder="1" applyAlignment="1">
      <alignment horizontal="center" vertical="center"/>
    </xf>
    <xf numFmtId="3" fontId="75" fillId="2" borderId="1" xfId="6" applyNumberFormat="1" applyFont="1" applyFill="1" applyBorder="1" applyAlignment="1">
      <alignment horizontal="center" vertical="center"/>
    </xf>
    <xf numFmtId="9" fontId="75" fillId="2" borderId="1" xfId="12" applyFont="1" applyFill="1" applyBorder="1" applyAlignment="1" applyProtection="1">
      <alignment horizontal="center" vertical="center"/>
    </xf>
    <xf numFmtId="49" fontId="74" fillId="0" borderId="23" xfId="6" applyNumberFormat="1" applyFont="1" applyBorder="1" applyAlignment="1">
      <alignment horizontal="left" vertical="center"/>
    </xf>
    <xf numFmtId="0" fontId="74" fillId="3" borderId="5" xfId="6" applyFont="1" applyFill="1" applyBorder="1" applyAlignment="1">
      <alignment horizontal="center" vertical="center"/>
    </xf>
    <xf numFmtId="0" fontId="72" fillId="0" borderId="0" xfId="0" applyFont="1" applyAlignment="1">
      <alignment horizontal="center" vertical="center"/>
    </xf>
    <xf numFmtId="49" fontId="71" fillId="0" borderId="0" xfId="0" applyNumberFormat="1" applyFont="1" applyAlignment="1">
      <alignment horizontal="left" vertical="center"/>
    </xf>
    <xf numFmtId="9" fontId="72" fillId="0" borderId="0" xfId="12" applyFont="1" applyAlignment="1" applyProtection="1">
      <alignment horizontal="center" vertical="center"/>
    </xf>
    <xf numFmtId="0" fontId="74" fillId="6" borderId="1" xfId="6" applyFont="1" applyFill="1" applyBorder="1" applyAlignment="1">
      <alignment horizontal="center" vertical="center"/>
    </xf>
    <xf numFmtId="3" fontId="75" fillId="2" borderId="1" xfId="6" applyNumberFormat="1" applyFont="1" applyFill="1" applyBorder="1" applyAlignment="1">
      <alignment horizontal="center" vertical="center" wrapText="1"/>
    </xf>
    <xf numFmtId="9" fontId="75" fillId="2" borderId="1" xfId="12" applyFont="1" applyFill="1" applyBorder="1" applyAlignment="1" applyProtection="1">
      <alignment horizontal="center" vertical="center" wrapText="1"/>
    </xf>
    <xf numFmtId="49" fontId="74" fillId="0" borderId="23" xfId="6" applyNumberFormat="1" applyFont="1" applyBorder="1" applyAlignment="1">
      <alignment horizontal="left" vertical="center" wrapText="1"/>
    </xf>
    <xf numFmtId="3" fontId="71" fillId="0" borderId="0" xfId="0" applyNumberFormat="1" applyFont="1" applyAlignment="1">
      <alignment vertical="center"/>
    </xf>
    <xf numFmtId="0" fontId="74" fillId="2" borderId="1" xfId="6" applyFont="1" applyFill="1" applyBorder="1" applyAlignment="1">
      <alignment horizontal="center" vertical="center"/>
    </xf>
    <xf numFmtId="3" fontId="71" fillId="0" borderId="1" xfId="0" applyNumberFormat="1" applyFont="1" applyBorder="1" applyAlignment="1">
      <alignment vertical="center" wrapText="1"/>
    </xf>
    <xf numFmtId="0" fontId="72" fillId="0" borderId="0" xfId="0" applyFont="1" applyAlignment="1">
      <alignment vertical="center"/>
    </xf>
    <xf numFmtId="0" fontId="71" fillId="3" borderId="1" xfId="6" applyFont="1" applyFill="1" applyBorder="1" applyAlignment="1">
      <alignment horizontal="center" vertical="center"/>
    </xf>
    <xf numFmtId="3" fontId="72" fillId="3" borderId="1" xfId="6" applyNumberFormat="1" applyFont="1" applyFill="1" applyBorder="1" applyAlignment="1" applyProtection="1">
      <alignment horizontal="center" vertical="center"/>
      <protection locked="0"/>
    </xf>
    <xf numFmtId="9" fontId="72" fillId="3" borderId="1" xfId="12" applyFont="1" applyFill="1" applyBorder="1" applyAlignment="1" applyProtection="1">
      <alignment horizontal="center" vertical="center"/>
      <protection locked="0"/>
    </xf>
    <xf numFmtId="166" fontId="71" fillId="0" borderId="1" xfId="12" applyNumberFormat="1" applyFont="1" applyFill="1" applyBorder="1" applyAlignment="1" applyProtection="1">
      <alignment horizontal="left" vertical="center" wrapText="1"/>
      <protection locked="0"/>
    </xf>
    <xf numFmtId="0" fontId="75" fillId="0" borderId="0" xfId="0" applyFont="1" applyAlignment="1">
      <alignment vertical="center"/>
    </xf>
    <xf numFmtId="3" fontId="75" fillId="2" borderId="1" xfId="6" applyNumberFormat="1" applyFont="1" applyFill="1" applyBorder="1" applyAlignment="1" applyProtection="1">
      <alignment horizontal="center" vertical="center"/>
      <protection locked="0"/>
    </xf>
    <xf numFmtId="9" fontId="75" fillId="2" borderId="1" xfId="12" applyFont="1" applyFill="1" applyBorder="1" applyAlignment="1" applyProtection="1">
      <alignment horizontal="center" vertical="center"/>
      <protection locked="0"/>
    </xf>
    <xf numFmtId="49" fontId="74" fillId="0" borderId="1" xfId="6" applyNumberFormat="1" applyFont="1" applyBorder="1" applyAlignment="1" applyProtection="1">
      <alignment horizontal="left" vertical="center"/>
      <protection locked="0"/>
    </xf>
    <xf numFmtId="0" fontId="74" fillId="0" borderId="1" xfId="6" applyFont="1" applyBorder="1" applyAlignment="1">
      <alignment horizontal="center" vertical="center"/>
    </xf>
    <xf numFmtId="3" fontId="72" fillId="0" borderId="1" xfId="6" applyNumberFormat="1" applyFont="1" applyBorder="1" applyAlignment="1" applyProtection="1">
      <alignment horizontal="center" vertical="center"/>
      <protection locked="0"/>
    </xf>
    <xf numFmtId="9" fontId="72" fillId="0" borderId="1" xfId="12" applyFont="1" applyFill="1" applyBorder="1" applyAlignment="1" applyProtection="1">
      <alignment horizontal="center" vertical="center"/>
      <protection locked="0"/>
    </xf>
    <xf numFmtId="3" fontId="75" fillId="0" borderId="1" xfId="6" applyNumberFormat="1" applyFont="1" applyBorder="1" applyAlignment="1" applyProtection="1">
      <alignment horizontal="center" vertical="center"/>
      <protection locked="0"/>
    </xf>
    <xf numFmtId="9" fontId="75" fillId="0" borderId="1" xfId="12" applyFont="1" applyFill="1" applyBorder="1" applyAlignment="1" applyProtection="1">
      <alignment horizontal="center" vertical="center"/>
      <protection locked="0"/>
    </xf>
    <xf numFmtId="49" fontId="71" fillId="32" borderId="1" xfId="6" applyNumberFormat="1" applyFont="1" applyFill="1" applyBorder="1" applyAlignment="1" applyProtection="1">
      <alignment horizontal="left" vertical="center" wrapText="1"/>
      <protection locked="0"/>
    </xf>
    <xf numFmtId="3" fontId="71" fillId="0" borderId="1" xfId="6" applyNumberFormat="1" applyFont="1" applyBorder="1" applyAlignment="1" applyProtection="1">
      <alignment horizontal="center" vertical="center"/>
      <protection locked="0"/>
    </xf>
    <xf numFmtId="9" fontId="71" fillId="0" borderId="1" xfId="12" applyFont="1" applyFill="1" applyBorder="1" applyAlignment="1" applyProtection="1">
      <alignment horizontal="center" vertical="center"/>
      <protection locked="0"/>
    </xf>
    <xf numFmtId="49" fontId="71" fillId="0" borderId="1" xfId="6" applyNumberFormat="1" applyFont="1" applyBorder="1" applyAlignment="1" applyProtection="1">
      <alignment horizontal="left" vertical="center" wrapText="1"/>
      <protection locked="0"/>
    </xf>
    <xf numFmtId="49" fontId="74" fillId="2" borderId="23" xfId="6" applyNumberFormat="1" applyFont="1" applyFill="1" applyBorder="1" applyAlignment="1">
      <alignment horizontal="left" vertical="center"/>
    </xf>
    <xf numFmtId="49" fontId="71" fillId="0" borderId="8" xfId="6" applyNumberFormat="1" applyFont="1" applyBorder="1" applyAlignment="1" applyProtection="1">
      <alignment horizontal="left" vertical="center" wrapText="1"/>
      <protection locked="0"/>
    </xf>
    <xf numFmtId="3" fontId="72" fillId="3" borderId="4" xfId="6" applyNumberFormat="1" applyFont="1" applyFill="1" applyBorder="1" applyAlignment="1" applyProtection="1">
      <alignment horizontal="center" vertical="center"/>
      <protection locked="0"/>
    </xf>
    <xf numFmtId="9" fontId="72" fillId="3" borderId="4" xfId="12" applyFont="1" applyFill="1" applyBorder="1" applyAlignment="1" applyProtection="1">
      <alignment horizontal="center" vertical="center"/>
      <protection locked="0"/>
    </xf>
    <xf numFmtId="0" fontId="71" fillId="0" borderId="1" xfId="0" applyFont="1" applyBorder="1" applyAlignment="1">
      <alignment vertical="center" wrapText="1"/>
    </xf>
    <xf numFmtId="3" fontId="72" fillId="3" borderId="6" xfId="6" applyNumberFormat="1" applyFont="1" applyFill="1" applyBorder="1" applyAlignment="1" applyProtection="1">
      <alignment horizontal="center" vertical="center"/>
      <protection locked="0"/>
    </xf>
    <xf numFmtId="9" fontId="72" fillId="3" borderId="6" xfId="12" applyFont="1" applyFill="1" applyBorder="1" applyAlignment="1" applyProtection="1">
      <alignment horizontal="center" vertical="center"/>
      <protection locked="0"/>
    </xf>
    <xf numFmtId="3" fontId="75" fillId="6" borderId="1" xfId="6" applyNumberFormat="1" applyFont="1" applyFill="1" applyBorder="1" applyAlignment="1">
      <alignment horizontal="center" vertical="center"/>
    </xf>
    <xf numFmtId="9" fontId="75" fillId="6" borderId="1" xfId="12" applyFont="1" applyFill="1" applyBorder="1" applyAlignment="1" applyProtection="1">
      <alignment horizontal="center" vertical="center"/>
    </xf>
    <xf numFmtId="0" fontId="74" fillId="6" borderId="1" xfId="0" applyFont="1" applyFill="1" applyBorder="1" applyAlignment="1">
      <alignment horizontal="center" vertical="center"/>
    </xf>
    <xf numFmtId="3" fontId="75" fillId="6" borderId="1" xfId="0" applyNumberFormat="1" applyFont="1" applyFill="1" applyBorder="1" applyAlignment="1">
      <alignment horizontal="center" vertical="center"/>
    </xf>
    <xf numFmtId="49" fontId="74" fillId="0" borderId="23" xfId="0" applyNumberFormat="1" applyFont="1" applyBorder="1" applyAlignment="1">
      <alignment horizontal="left" vertical="center"/>
    </xf>
    <xf numFmtId="0" fontId="74" fillId="0" borderId="1" xfId="0" applyFont="1" applyBorder="1" applyAlignment="1">
      <alignment horizontal="center" vertical="center"/>
    </xf>
    <xf numFmtId="3" fontId="75" fillId="0" borderId="1" xfId="0" applyNumberFormat="1" applyFont="1" applyBorder="1" applyAlignment="1" applyProtection="1">
      <alignment horizontal="center" vertical="center"/>
      <protection locked="0"/>
    </xf>
    <xf numFmtId="49" fontId="74" fillId="0" borderId="1" xfId="0" applyNumberFormat="1" applyFont="1" applyBorder="1" applyAlignment="1" applyProtection="1">
      <alignment horizontal="left" vertical="center"/>
      <protection locked="0"/>
    </xf>
    <xf numFmtId="3" fontId="75" fillId="0" borderId="1" xfId="0" applyNumberFormat="1" applyFont="1" applyBorder="1" applyAlignment="1">
      <alignment horizontal="center" vertical="center"/>
    </xf>
    <xf numFmtId="9" fontId="75" fillId="0" borderId="1" xfId="12" applyFont="1" applyFill="1" applyBorder="1" applyAlignment="1" applyProtection="1">
      <alignment horizontal="center" vertical="center"/>
    </xf>
    <xf numFmtId="0" fontId="74" fillId="2" borderId="1" xfId="0" applyFont="1" applyFill="1" applyBorder="1" applyAlignment="1">
      <alignment horizontal="center" vertical="center"/>
    </xf>
    <xf numFmtId="3" fontId="75" fillId="2" borderId="1" xfId="0" applyNumberFormat="1" applyFont="1" applyFill="1" applyBorder="1" applyAlignment="1">
      <alignment horizontal="center" vertical="center"/>
    </xf>
    <xf numFmtId="3" fontId="72" fillId="0" borderId="1" xfId="0" applyNumberFormat="1" applyFont="1" applyBorder="1" applyAlignment="1">
      <alignment horizontal="center" vertical="center"/>
    </xf>
    <xf numFmtId="9" fontId="72" fillId="0" borderId="1" xfId="12" applyFont="1" applyBorder="1" applyAlignment="1" applyProtection="1">
      <alignment horizontal="center" vertical="center"/>
    </xf>
    <xf numFmtId="0" fontId="71" fillId="0" borderId="1" xfId="0" applyFont="1" applyBorder="1" applyAlignment="1" applyProtection="1">
      <alignment horizontal="center" vertical="center"/>
      <protection locked="0"/>
    </xf>
    <xf numFmtId="3" fontId="72" fillId="0" borderId="1" xfId="0" applyNumberFormat="1" applyFont="1" applyBorder="1" applyAlignment="1" applyProtection="1">
      <alignment horizontal="center" vertical="center"/>
      <protection locked="0"/>
    </xf>
    <xf numFmtId="9" fontId="72" fillId="0" borderId="1" xfId="12" applyFont="1" applyBorder="1" applyAlignment="1" applyProtection="1">
      <alignment horizontal="center" vertical="center"/>
      <protection locked="0"/>
    </xf>
    <xf numFmtId="0" fontId="71" fillId="0" borderId="0" xfId="0" applyFont="1" applyAlignment="1" applyProtection="1">
      <alignment vertical="center"/>
      <protection locked="0"/>
    </xf>
    <xf numFmtId="0" fontId="71" fillId="0" borderId="0" xfId="0" applyFont="1" applyAlignment="1" applyProtection="1">
      <alignment vertical="center" wrapText="1"/>
      <protection locked="0"/>
    </xf>
    <xf numFmtId="0" fontId="71" fillId="0" borderId="0" xfId="0" applyFont="1" applyAlignment="1">
      <alignment vertical="center" wrapText="1"/>
    </xf>
    <xf numFmtId="9" fontId="72" fillId="0" borderId="6" xfId="12" applyFont="1" applyBorder="1" applyAlignment="1" applyProtection="1">
      <alignment horizontal="center" vertical="center"/>
    </xf>
    <xf numFmtId="0" fontId="71" fillId="0" borderId="7" xfId="6" applyFont="1" applyBorder="1" applyAlignment="1">
      <alignment vertical="center" wrapText="1"/>
    </xf>
    <xf numFmtId="49" fontId="71" fillId="0" borderId="1" xfId="6" applyNumberFormat="1" applyFont="1" applyBorder="1" applyAlignment="1">
      <alignment vertical="top" wrapText="1"/>
    </xf>
    <xf numFmtId="0" fontId="74" fillId="2" borderId="4" xfId="6" applyFont="1" applyFill="1" applyBorder="1" applyAlignment="1">
      <alignment horizontal="center" vertical="center"/>
    </xf>
    <xf numFmtId="0" fontId="71" fillId="2" borderId="1" xfId="6" applyFont="1" applyFill="1" applyBorder="1" applyAlignment="1">
      <alignment vertical="center" wrapText="1"/>
    </xf>
    <xf numFmtId="49" fontId="71" fillId="2" borderId="1" xfId="6" applyNumberFormat="1" applyFont="1" applyFill="1" applyBorder="1" applyAlignment="1">
      <alignment vertical="top" wrapText="1"/>
    </xf>
    <xf numFmtId="0" fontId="71" fillId="0" borderId="1" xfId="6" applyFont="1" applyBorder="1" applyAlignment="1">
      <alignment vertical="center" wrapText="1"/>
    </xf>
    <xf numFmtId="0" fontId="74" fillId="6" borderId="6" xfId="6" applyFont="1" applyFill="1" applyBorder="1" applyAlignment="1">
      <alignment horizontal="center" vertical="center"/>
    </xf>
    <xf numFmtId="0" fontId="71" fillId="2" borderId="7" xfId="6" applyFont="1" applyFill="1" applyBorder="1" applyAlignment="1">
      <alignment vertical="center" wrapText="1"/>
    </xf>
    <xf numFmtId="3" fontId="75" fillId="0" borderId="4" xfId="6" applyNumberFormat="1" applyFont="1" applyBorder="1" applyAlignment="1" applyProtection="1">
      <alignment horizontal="center" vertical="center"/>
      <protection locked="0"/>
    </xf>
    <xf numFmtId="0" fontId="71" fillId="2" borderId="6" xfId="6" applyFont="1" applyFill="1" applyBorder="1" applyAlignment="1">
      <alignment vertical="center" wrapText="1"/>
    </xf>
    <xf numFmtId="0" fontId="71" fillId="0" borderId="1" xfId="6" applyFont="1" applyBorder="1" applyAlignment="1">
      <alignment horizontal="center" vertical="center" wrapText="1"/>
    </xf>
    <xf numFmtId="3" fontId="72" fillId="0" borderId="1" xfId="6" applyNumberFormat="1" applyFont="1" applyBorder="1" applyAlignment="1">
      <alignment horizontal="center" vertical="center"/>
    </xf>
    <xf numFmtId="9" fontId="72" fillId="0" borderId="1" xfId="12" applyFont="1" applyFill="1" applyBorder="1" applyAlignment="1" applyProtection="1">
      <alignment horizontal="center" vertical="center"/>
    </xf>
    <xf numFmtId="3" fontId="72" fillId="0" borderId="6" xfId="6" applyNumberFormat="1" applyFont="1" applyBorder="1" applyAlignment="1">
      <alignment horizontal="center" vertical="center"/>
    </xf>
    <xf numFmtId="0" fontId="71" fillId="0" borderId="1" xfId="6" applyFont="1" applyBorder="1" applyAlignment="1" applyProtection="1">
      <alignment horizontal="center" vertical="center" wrapText="1"/>
      <protection locked="0"/>
    </xf>
    <xf numFmtId="0" fontId="71" fillId="0" borderId="1" xfId="6" applyFont="1" applyBorder="1" applyAlignment="1">
      <alignment horizontal="center" vertical="center"/>
    </xf>
    <xf numFmtId="0" fontId="71" fillId="0" borderId="1" xfId="6" applyFont="1" applyBorder="1" applyAlignment="1" applyProtection="1">
      <alignment horizontal="center" vertical="center"/>
      <protection locked="0"/>
    </xf>
    <xf numFmtId="0" fontId="74" fillId="6" borderId="1" xfId="6" applyFont="1" applyFill="1" applyBorder="1" applyAlignment="1">
      <alignment horizontal="center" vertical="center" wrapText="1"/>
    </xf>
    <xf numFmtId="0" fontId="74" fillId="0" borderId="1" xfId="6" applyFont="1" applyBorder="1" applyAlignment="1">
      <alignment horizontal="center" vertical="center" wrapText="1"/>
    </xf>
    <xf numFmtId="0" fontId="74" fillId="0" borderId="0" xfId="6" applyFont="1" applyAlignment="1">
      <alignment horizontal="center" vertical="center" wrapText="1"/>
    </xf>
    <xf numFmtId="49" fontId="74" fillId="0" borderId="0" xfId="6" applyNumberFormat="1" applyFont="1" applyAlignment="1">
      <alignment horizontal="left" vertical="center" wrapText="1"/>
    </xf>
    <xf numFmtId="3" fontId="74" fillId="0" borderId="0" xfId="6" applyNumberFormat="1" applyFont="1" applyAlignment="1" applyProtection="1">
      <alignment horizontal="right" vertical="center"/>
      <protection locked="0"/>
    </xf>
    <xf numFmtId="3" fontId="75" fillId="0" borderId="0" xfId="6" applyNumberFormat="1" applyFont="1" applyAlignment="1" applyProtection="1">
      <alignment horizontal="center" vertical="center"/>
      <protection locked="0"/>
    </xf>
    <xf numFmtId="9" fontId="75" fillId="0" borderId="0" xfId="12" applyFont="1" applyFill="1" applyBorder="1" applyAlignment="1" applyProtection="1">
      <alignment horizontal="center" vertical="center"/>
      <protection locked="0"/>
    </xf>
    <xf numFmtId="0" fontId="71" fillId="0" borderId="0" xfId="6" applyFont="1" applyAlignment="1">
      <alignment vertical="center" wrapText="1"/>
    </xf>
    <xf numFmtId="49" fontId="71" fillId="0" borderId="0" xfId="6" applyNumberFormat="1" applyFont="1" applyAlignment="1">
      <alignment vertical="top" wrapText="1"/>
    </xf>
    <xf numFmtId="0" fontId="71" fillId="0" borderId="0" xfId="6" applyFont="1" applyAlignment="1">
      <alignment horizontal="left" vertical="center"/>
    </xf>
    <xf numFmtId="0" fontId="71" fillId="0" borderId="0" xfId="0" applyFont="1" applyAlignment="1">
      <alignment horizontal="right" vertical="center"/>
    </xf>
    <xf numFmtId="0" fontId="71" fillId="0" borderId="0" xfId="1467" applyFont="1" applyAlignment="1">
      <alignment vertical="center"/>
    </xf>
    <xf numFmtId="0" fontId="71" fillId="0" borderId="0" xfId="0" applyFont="1" applyAlignment="1">
      <alignment horizontal="center" vertical="center"/>
    </xf>
    <xf numFmtId="3" fontId="71" fillId="0" borderId="1" xfId="0" applyNumberFormat="1" applyFont="1" applyBorder="1" applyAlignment="1" applyProtection="1">
      <alignment horizontal="left" vertical="center" wrapText="1"/>
      <protection locked="0"/>
    </xf>
    <xf numFmtId="3" fontId="71" fillId="32" borderId="1" xfId="0" applyNumberFormat="1" applyFont="1" applyFill="1" applyBorder="1" applyAlignment="1">
      <alignment vertical="center" wrapText="1"/>
    </xf>
    <xf numFmtId="3" fontId="69" fillId="4" borderId="1" xfId="0" applyNumberFormat="1" applyFont="1" applyFill="1" applyBorder="1" applyAlignment="1">
      <alignment horizontal="right" vertical="center" wrapText="1"/>
    </xf>
    <xf numFmtId="0" fontId="69" fillId="4" borderId="1" xfId="0" applyFont="1" applyFill="1" applyBorder="1" applyAlignment="1">
      <alignment horizontal="right" vertical="center" wrapText="1"/>
    </xf>
    <xf numFmtId="3" fontId="74" fillId="0" borderId="0" xfId="6" applyNumberFormat="1" applyFont="1" applyAlignment="1">
      <alignment horizontal="right" vertical="center"/>
    </xf>
    <xf numFmtId="3" fontId="77" fillId="0" borderId="0" xfId="6" applyNumberFormat="1" applyFont="1" applyAlignment="1" applyProtection="1">
      <alignment horizontal="right" vertical="center"/>
      <protection locked="0"/>
    </xf>
    <xf numFmtId="3" fontId="77" fillId="0" borderId="0" xfId="6" applyNumberFormat="1" applyFont="1" applyAlignment="1">
      <alignment horizontal="right" vertical="center"/>
    </xf>
    <xf numFmtId="0" fontId="76" fillId="0" borderId="0" xfId="0" applyFont="1" applyAlignment="1">
      <alignment vertical="center"/>
    </xf>
    <xf numFmtId="1" fontId="59" fillId="0" borderId="0" xfId="0" applyNumberFormat="1" applyFont="1" applyAlignment="1">
      <alignment vertical="center"/>
    </xf>
    <xf numFmtId="3" fontId="44" fillId="0" borderId="0" xfId="0" applyNumberFormat="1" applyFont="1" applyAlignment="1" applyProtection="1">
      <alignment horizontal="center"/>
      <protection locked="0"/>
    </xf>
    <xf numFmtId="0" fontId="42" fillId="0" borderId="1" xfId="1467" applyFont="1" applyBorder="1" applyAlignment="1">
      <alignment horizontal="center" vertical="center" wrapText="1"/>
    </xf>
    <xf numFmtId="0" fontId="42" fillId="0" borderId="1" xfId="1467" applyFont="1" applyBorder="1" applyAlignment="1">
      <alignment vertical="center" wrapText="1"/>
    </xf>
    <xf numFmtId="3" fontId="42" fillId="0" borderId="1" xfId="1467" applyNumberFormat="1" applyFont="1" applyBorder="1" applyAlignment="1" applyProtection="1">
      <alignment horizontal="center" vertical="center"/>
      <protection locked="0"/>
    </xf>
    <xf numFmtId="3" fontId="44" fillId="0" borderId="1" xfId="1467" applyNumberFormat="1" applyFont="1" applyBorder="1" applyAlignment="1" applyProtection="1">
      <alignment horizontal="center" vertical="center"/>
      <protection locked="0"/>
    </xf>
    <xf numFmtId="49" fontId="42" fillId="0" borderId="1" xfId="1467" applyNumberFormat="1" applyFont="1" applyBorder="1" applyAlignment="1" applyProtection="1">
      <alignment horizontal="left" vertical="center" wrapText="1"/>
      <protection locked="0"/>
    </xf>
    <xf numFmtId="49" fontId="42" fillId="32" borderId="1" xfId="1467" applyNumberFormat="1" applyFont="1" applyFill="1" applyBorder="1" applyAlignment="1" applyProtection="1">
      <alignment horizontal="left" vertical="center" wrapText="1"/>
      <protection locked="0"/>
    </xf>
    <xf numFmtId="0" fontId="43" fillId="6" borderId="1" xfId="1467" applyFont="1" applyFill="1" applyBorder="1" applyAlignment="1">
      <alignment horizontal="center" vertical="center"/>
    </xf>
    <xf numFmtId="0" fontId="43" fillId="6" borderId="1" xfId="1467" applyFont="1" applyFill="1" applyBorder="1" applyAlignment="1">
      <alignment vertical="center" wrapText="1"/>
    </xf>
    <xf numFmtId="3" fontId="43" fillId="2" borderId="1" xfId="1467" applyNumberFormat="1" applyFont="1" applyFill="1" applyBorder="1" applyAlignment="1">
      <alignment horizontal="center" vertical="center"/>
    </xf>
    <xf numFmtId="3" fontId="43" fillId="6" borderId="1" xfId="1467" applyNumberFormat="1" applyFont="1" applyFill="1" applyBorder="1" applyAlignment="1">
      <alignment horizontal="center" vertical="center"/>
    </xf>
    <xf numFmtId="3" fontId="45" fillId="6" borderId="1" xfId="1467" applyNumberFormat="1" applyFont="1" applyFill="1" applyBorder="1" applyAlignment="1">
      <alignment horizontal="center" vertical="center"/>
    </xf>
    <xf numFmtId="9" fontId="45" fillId="6" borderId="1" xfId="12" applyFont="1" applyFill="1" applyBorder="1" applyAlignment="1">
      <alignment horizontal="center" vertical="center"/>
    </xf>
    <xf numFmtId="49" fontId="42" fillId="6" borderId="1" xfId="1467" applyNumberFormat="1" applyFont="1" applyFill="1" applyBorder="1" applyAlignment="1">
      <alignment horizontal="left" vertical="center" wrapText="1"/>
    </xf>
    <xf numFmtId="49" fontId="43" fillId="6" borderId="1" xfId="1467" applyNumberFormat="1" applyFont="1" applyFill="1" applyBorder="1" applyAlignment="1">
      <alignment horizontal="center" vertical="center"/>
    </xf>
    <xf numFmtId="49" fontId="42" fillId="0" borderId="1" xfId="1467" applyNumberFormat="1" applyFont="1" applyBorder="1" applyAlignment="1" applyProtection="1">
      <alignment horizontal="center" vertical="center"/>
      <protection locked="0"/>
    </xf>
    <xf numFmtId="1" fontId="78" fillId="0" borderId="1" xfId="0" applyNumberFormat="1" applyFont="1" applyBorder="1" applyAlignment="1">
      <alignment horizontal="center" vertical="center" wrapText="1"/>
    </xf>
    <xf numFmtId="3" fontId="78" fillId="0" borderId="1" xfId="0" applyNumberFormat="1" applyFont="1" applyBorder="1" applyAlignment="1">
      <alignment horizontal="center" vertical="center" wrapText="1"/>
    </xf>
    <xf numFmtId="1" fontId="79" fillId="2" borderId="1" xfId="0" applyNumberFormat="1" applyFont="1" applyFill="1" applyBorder="1" applyAlignment="1">
      <alignment horizontal="right" vertical="center" wrapText="1"/>
    </xf>
    <xf numFmtId="1" fontId="78" fillId="0" borderId="1" xfId="0" applyNumberFormat="1" applyFont="1" applyBorder="1" applyAlignment="1" applyProtection="1">
      <alignment horizontal="right" vertical="center" wrapText="1"/>
      <protection locked="0"/>
    </xf>
    <xf numFmtId="1" fontId="78" fillId="3" borderId="1" xfId="0" applyNumberFormat="1" applyFont="1" applyFill="1" applyBorder="1" applyAlignment="1" applyProtection="1">
      <alignment horizontal="right" vertical="center" wrapText="1"/>
      <protection locked="0"/>
    </xf>
    <xf numFmtId="1" fontId="79" fillId="2" borderId="1" xfId="0" applyNumberFormat="1" applyFont="1" applyFill="1" applyBorder="1" applyAlignment="1" applyProtection="1">
      <alignment horizontal="right" vertical="center" wrapText="1"/>
      <protection locked="0"/>
    </xf>
    <xf numFmtId="1" fontId="79" fillId="3" borderId="1" xfId="0" applyNumberFormat="1" applyFont="1" applyFill="1" applyBorder="1" applyAlignment="1" applyProtection="1">
      <alignment horizontal="right" vertical="center" wrapText="1"/>
      <protection locked="0"/>
    </xf>
    <xf numFmtId="1" fontId="79" fillId="3" borderId="1" xfId="1" applyNumberFormat="1" applyFont="1" applyFill="1" applyBorder="1" applyAlignment="1" applyProtection="1">
      <alignment horizontal="right" vertical="center" wrapText="1"/>
      <protection locked="0"/>
    </xf>
    <xf numFmtId="1" fontId="79" fillId="0" borderId="1" xfId="1" applyNumberFormat="1" applyFont="1" applyBorder="1" applyAlignment="1" applyProtection="1">
      <alignment horizontal="right" vertical="center" wrapText="1"/>
      <protection locked="0"/>
    </xf>
    <xf numFmtId="1" fontId="79" fillId="0" borderId="1" xfId="0" applyNumberFormat="1" applyFont="1" applyBorder="1" applyAlignment="1" applyProtection="1">
      <alignment horizontal="right" vertical="center" wrapText="1"/>
      <protection locked="0"/>
    </xf>
    <xf numFmtId="3" fontId="78" fillId="3" borderId="1" xfId="0" applyNumberFormat="1" applyFont="1" applyFill="1" applyBorder="1" applyAlignment="1" applyProtection="1">
      <alignment horizontal="right" vertical="center" wrapText="1"/>
      <protection locked="0"/>
    </xf>
    <xf numFmtId="1" fontId="78" fillId="2" borderId="1" xfId="0" applyNumberFormat="1" applyFont="1" applyFill="1" applyBorder="1" applyAlignment="1">
      <alignment horizontal="right" vertical="center" wrapText="1"/>
    </xf>
    <xf numFmtId="1" fontId="80" fillId="2" borderId="1" xfId="0" applyNumberFormat="1" applyFont="1" applyFill="1" applyBorder="1" applyAlignment="1">
      <alignment horizontal="right" vertical="center" wrapText="1"/>
    </xf>
    <xf numFmtId="3" fontId="81" fillId="3" borderId="1" xfId="6" applyNumberFormat="1" applyFont="1" applyFill="1" applyBorder="1" applyAlignment="1">
      <alignment horizontal="center" vertical="center" wrapText="1"/>
    </xf>
    <xf numFmtId="3" fontId="81" fillId="0" borderId="1" xfId="0" applyNumberFormat="1" applyFont="1" applyBorder="1" applyAlignment="1">
      <alignment horizontal="center" vertical="center" wrapText="1"/>
    </xf>
    <xf numFmtId="3" fontId="82" fillId="5" borderId="1" xfId="0" applyNumberFormat="1" applyFont="1" applyFill="1" applyBorder="1" applyAlignment="1">
      <alignment horizontal="center" vertical="center" wrapText="1"/>
    </xf>
    <xf numFmtId="0" fontId="81" fillId="0" borderId="1" xfId="0" applyFont="1" applyBorder="1" applyAlignment="1">
      <alignment horizontal="center" vertical="center"/>
    </xf>
    <xf numFmtId="0" fontId="83" fillId="2" borderId="1" xfId="6" applyFont="1" applyFill="1" applyBorder="1" applyAlignment="1">
      <alignment horizontal="left" vertical="center" wrapText="1"/>
    </xf>
    <xf numFmtId="3" fontId="83" fillId="33" borderId="1" xfId="6" applyNumberFormat="1" applyFont="1" applyFill="1" applyBorder="1" applyAlignment="1">
      <alignment horizontal="right" vertical="center" wrapText="1"/>
    </xf>
    <xf numFmtId="3" fontId="83" fillId="33" borderId="1" xfId="6" applyNumberFormat="1" applyFont="1" applyFill="1" applyBorder="1" applyAlignment="1">
      <alignment vertical="center"/>
    </xf>
    <xf numFmtId="3" fontId="83" fillId="2" borderId="1" xfId="6" applyNumberFormat="1" applyFont="1" applyFill="1" applyBorder="1" applyAlignment="1">
      <alignment horizontal="right" vertical="center"/>
    </xf>
    <xf numFmtId="3" fontId="84" fillId="2" borderId="1" xfId="6" applyNumberFormat="1" applyFont="1" applyFill="1" applyBorder="1" applyAlignment="1">
      <alignment horizontal="center" vertical="center"/>
    </xf>
    <xf numFmtId="3" fontId="83" fillId="2" borderId="1" xfId="6" applyNumberFormat="1" applyFont="1" applyFill="1" applyBorder="1" applyAlignment="1">
      <alignment horizontal="right" vertical="center" wrapText="1"/>
    </xf>
    <xf numFmtId="3" fontId="84" fillId="2" borderId="1" xfId="6" applyNumberFormat="1" applyFont="1" applyFill="1" applyBorder="1" applyAlignment="1">
      <alignment horizontal="center" vertical="center" wrapText="1"/>
    </xf>
    <xf numFmtId="0" fontId="83" fillId="2" borderId="1" xfId="6" applyFont="1" applyFill="1" applyBorder="1" applyAlignment="1">
      <alignment vertical="center" wrapText="1"/>
    </xf>
    <xf numFmtId="3" fontId="81" fillId="3" borderId="1" xfId="0" applyNumberFormat="1" applyFont="1" applyFill="1" applyBorder="1" applyAlignment="1">
      <alignment horizontal="left" vertical="center" wrapText="1"/>
    </xf>
    <xf numFmtId="3" fontId="81" fillId="0" borderId="1" xfId="6" applyNumberFormat="1" applyFont="1" applyBorder="1" applyAlignment="1" applyProtection="1">
      <alignment horizontal="right" vertical="center"/>
      <protection locked="0"/>
    </xf>
    <xf numFmtId="3" fontId="81" fillId="3" borderId="1" xfId="6" applyNumberFormat="1" applyFont="1" applyFill="1" applyBorder="1" applyAlignment="1" applyProtection="1">
      <alignment vertical="center"/>
      <protection locked="0"/>
    </xf>
    <xf numFmtId="3" fontId="81" fillId="3" borderId="1" xfId="6" applyNumberFormat="1" applyFont="1" applyFill="1" applyBorder="1" applyAlignment="1" applyProtection="1">
      <alignment horizontal="right" vertical="center"/>
      <protection locked="0"/>
    </xf>
    <xf numFmtId="3" fontId="82" fillId="3" borderId="1" xfId="6" applyNumberFormat="1" applyFont="1" applyFill="1" applyBorder="1" applyAlignment="1" applyProtection="1">
      <alignment horizontal="center" vertical="center"/>
      <protection locked="0"/>
    </xf>
    <xf numFmtId="3" fontId="83" fillId="2" borderId="1" xfId="0" applyNumberFormat="1" applyFont="1" applyFill="1" applyBorder="1" applyAlignment="1">
      <alignment horizontal="left" vertical="center" wrapText="1"/>
    </xf>
    <xf numFmtId="3" fontId="83" fillId="2" borderId="1" xfId="6" applyNumberFormat="1" applyFont="1" applyFill="1" applyBorder="1" applyAlignment="1" applyProtection="1">
      <alignment horizontal="right" vertical="center"/>
      <protection locked="0"/>
    </xf>
    <xf numFmtId="3" fontId="83" fillId="2" borderId="1" xfId="6" applyNumberFormat="1" applyFont="1" applyFill="1" applyBorder="1" applyAlignment="1" applyProtection="1">
      <alignment vertical="center"/>
      <protection locked="0"/>
    </xf>
    <xf numFmtId="3" fontId="84" fillId="2" borderId="1" xfId="6" applyNumberFormat="1" applyFont="1" applyFill="1" applyBorder="1" applyAlignment="1" applyProtection="1">
      <alignment horizontal="center" vertical="center"/>
      <protection locked="0"/>
    </xf>
    <xf numFmtId="3" fontId="83" fillId="2" borderId="1" xfId="6" applyNumberFormat="1" applyFont="1" applyFill="1" applyBorder="1" applyAlignment="1">
      <alignment vertical="center"/>
    </xf>
    <xf numFmtId="3" fontId="81" fillId="0" borderId="1" xfId="0" applyNumberFormat="1" applyFont="1" applyBorder="1" applyAlignment="1">
      <alignment horizontal="left" vertical="center" wrapText="1"/>
    </xf>
    <xf numFmtId="3" fontId="81" fillId="0" borderId="1" xfId="6" applyNumberFormat="1" applyFont="1" applyBorder="1" applyAlignment="1" applyProtection="1">
      <alignment vertical="center"/>
      <protection locked="0"/>
    </xf>
    <xf numFmtId="3" fontId="82" fillId="0" borderId="1" xfId="6" applyNumberFormat="1" applyFont="1" applyBorder="1" applyAlignment="1" applyProtection="1">
      <alignment horizontal="center" vertical="center"/>
      <protection locked="0"/>
    </xf>
    <xf numFmtId="3" fontId="83" fillId="0" borderId="1" xfId="6" applyNumberFormat="1" applyFont="1" applyBorder="1" applyAlignment="1">
      <alignment vertical="center" wrapText="1"/>
    </xf>
    <xf numFmtId="3" fontId="83" fillId="0" borderId="1" xfId="6" applyNumberFormat="1" applyFont="1" applyBorder="1" applyAlignment="1" applyProtection="1">
      <alignment horizontal="right" vertical="center"/>
      <protection locked="0"/>
    </xf>
    <xf numFmtId="3" fontId="83" fillId="0" borderId="1" xfId="6" applyNumberFormat="1" applyFont="1" applyBorder="1" applyAlignment="1" applyProtection="1">
      <alignment vertical="center"/>
      <protection locked="0"/>
    </xf>
    <xf numFmtId="3" fontId="84" fillId="0" borderId="1" xfId="6" applyNumberFormat="1" applyFont="1" applyBorder="1" applyAlignment="1" applyProtection="1">
      <alignment horizontal="center" vertical="center"/>
      <protection locked="0"/>
    </xf>
    <xf numFmtId="3" fontId="83" fillId="0" borderId="1" xfId="1" applyNumberFormat="1" applyFont="1" applyBorder="1" applyAlignment="1">
      <alignment horizontal="left" vertical="center" wrapText="1"/>
    </xf>
    <xf numFmtId="3" fontId="83" fillId="33" borderId="1" xfId="6" applyNumberFormat="1" applyFont="1" applyFill="1" applyBorder="1" applyAlignment="1">
      <alignment horizontal="right" vertical="center"/>
    </xf>
    <xf numFmtId="0" fontId="81" fillId="3" borderId="1" xfId="6" applyFont="1" applyFill="1" applyBorder="1" applyAlignment="1">
      <alignment horizontal="left" vertical="center" wrapText="1"/>
    </xf>
    <xf numFmtId="0" fontId="83" fillId="6" borderId="1" xfId="6" applyFont="1" applyFill="1" applyBorder="1" applyAlignment="1">
      <alignment vertical="center" wrapText="1"/>
    </xf>
    <xf numFmtId="3" fontId="83" fillId="6" borderId="1" xfId="6" applyNumberFormat="1" applyFont="1" applyFill="1" applyBorder="1" applyAlignment="1">
      <alignment horizontal="right" vertical="center"/>
    </xf>
    <xf numFmtId="3" fontId="84" fillId="6" borderId="1" xfId="6" applyNumberFormat="1" applyFont="1" applyFill="1" applyBorder="1" applyAlignment="1">
      <alignment horizontal="center" vertical="center"/>
    </xf>
    <xf numFmtId="0" fontId="83" fillId="6" borderId="1" xfId="0" applyFont="1" applyFill="1" applyBorder="1" applyAlignment="1">
      <alignment vertical="center" wrapText="1"/>
    </xf>
    <xf numFmtId="3" fontId="83" fillId="33" borderId="1" xfId="0" applyNumberFormat="1" applyFont="1" applyFill="1" applyBorder="1" applyAlignment="1">
      <alignment horizontal="right" vertical="center"/>
    </xf>
    <xf numFmtId="3" fontId="83" fillId="6" borderId="1" xfId="0" applyNumberFormat="1" applyFont="1" applyFill="1" applyBorder="1" applyAlignment="1">
      <alignment horizontal="right" vertical="center"/>
    </xf>
    <xf numFmtId="3" fontId="84" fillId="6" borderId="1" xfId="0" applyNumberFormat="1" applyFont="1" applyFill="1" applyBorder="1" applyAlignment="1">
      <alignment horizontal="center" vertical="center"/>
    </xf>
    <xf numFmtId="0" fontId="83" fillId="0" borderId="1" xfId="0" applyFont="1" applyBorder="1" applyAlignment="1">
      <alignment vertical="center" wrapText="1"/>
    </xf>
    <xf numFmtId="3" fontId="83" fillId="0" borderId="1" xfId="0" applyNumberFormat="1" applyFont="1" applyBorder="1" applyAlignment="1" applyProtection="1">
      <alignment horizontal="right" vertical="center"/>
      <protection locked="0"/>
    </xf>
    <xf numFmtId="3" fontId="83" fillId="0" borderId="1" xfId="0" applyNumberFormat="1" applyFont="1" applyBorder="1" applyAlignment="1" applyProtection="1">
      <alignment vertical="center"/>
      <protection locked="0"/>
    </xf>
    <xf numFmtId="3" fontId="84" fillId="0" borderId="1" xfId="0" applyNumberFormat="1" applyFont="1" applyBorder="1" applyAlignment="1" applyProtection="1">
      <alignment horizontal="center" vertical="center"/>
      <protection locked="0"/>
    </xf>
    <xf numFmtId="3" fontId="83" fillId="6" borderId="1" xfId="6" applyNumberFormat="1" applyFont="1" applyFill="1" applyBorder="1" applyAlignment="1">
      <alignment vertical="center" wrapText="1"/>
    </xf>
    <xf numFmtId="3" fontId="83" fillId="0" borderId="1" xfId="0" applyNumberFormat="1" applyFont="1" applyBorder="1" applyAlignment="1">
      <alignment horizontal="right" vertical="center"/>
    </xf>
    <xf numFmtId="3" fontId="84" fillId="0" borderId="1" xfId="0" applyNumberFormat="1" applyFont="1" applyBorder="1" applyAlignment="1">
      <alignment horizontal="center" vertical="center"/>
    </xf>
    <xf numFmtId="0" fontId="83" fillId="2" borderId="1" xfId="0" applyFont="1" applyFill="1" applyBorder="1" applyAlignment="1">
      <alignment horizontal="left" vertical="center" wrapText="1"/>
    </xf>
    <xf numFmtId="3" fontId="83" fillId="2" borderId="1" xfId="0" applyNumberFormat="1" applyFont="1" applyFill="1" applyBorder="1" applyAlignment="1">
      <alignment horizontal="right" vertical="center"/>
    </xf>
    <xf numFmtId="3" fontId="84" fillId="2" borderId="1" xfId="0" applyNumberFormat="1" applyFont="1" applyFill="1" applyBorder="1" applyAlignment="1">
      <alignment horizontal="center" vertical="center"/>
    </xf>
    <xf numFmtId="3" fontId="81" fillId="0" borderId="1" xfId="0" applyNumberFormat="1" applyFont="1" applyBorder="1" applyAlignment="1">
      <alignment horizontal="right" vertical="center"/>
    </xf>
    <xf numFmtId="3" fontId="81" fillId="0" borderId="1" xfId="0" applyNumberFormat="1" applyFont="1" applyBorder="1" applyAlignment="1">
      <alignment vertical="center"/>
    </xf>
    <xf numFmtId="3" fontId="82" fillId="0" borderId="1" xfId="0" applyNumberFormat="1" applyFont="1" applyBorder="1" applyAlignment="1">
      <alignment horizontal="center" vertical="center"/>
    </xf>
    <xf numFmtId="0" fontId="81" fillId="3" borderId="1" xfId="6" applyFont="1" applyFill="1" applyBorder="1" applyAlignment="1" applyProtection="1">
      <alignment horizontal="left" vertical="center" wrapText="1"/>
      <protection locked="0"/>
    </xf>
    <xf numFmtId="3" fontId="81" fillId="0" borderId="1" xfId="0" applyNumberFormat="1" applyFont="1" applyBorder="1" applyAlignment="1" applyProtection="1">
      <alignment horizontal="right" vertical="center"/>
      <protection locked="0"/>
    </xf>
    <xf numFmtId="3" fontId="81" fillId="0" borderId="1" xfId="0" applyNumberFormat="1" applyFont="1" applyBorder="1" applyAlignment="1" applyProtection="1">
      <alignment vertical="center"/>
      <protection locked="0"/>
    </xf>
    <xf numFmtId="3" fontId="82" fillId="0" borderId="1" xfId="0" applyNumberFormat="1" applyFont="1" applyBorder="1" applyAlignment="1" applyProtection="1">
      <alignment horizontal="center" vertical="center"/>
      <protection locked="0"/>
    </xf>
    <xf numFmtId="0" fontId="83" fillId="2" borderId="4" xfId="6" applyFont="1" applyFill="1" applyBorder="1" applyAlignment="1">
      <alignment vertical="center" wrapText="1"/>
    </xf>
    <xf numFmtId="3" fontId="83" fillId="33" borderId="4" xfId="6" applyNumberFormat="1" applyFont="1" applyFill="1" applyBorder="1" applyAlignment="1">
      <alignment horizontal="right" vertical="center" wrapText="1"/>
    </xf>
    <xf numFmtId="3" fontId="83" fillId="2" borderId="4" xfId="6" applyNumberFormat="1" applyFont="1" applyFill="1" applyBorder="1" applyAlignment="1">
      <alignment horizontal="right" vertical="center" wrapText="1"/>
    </xf>
    <xf numFmtId="3" fontId="84" fillId="2" borderId="4" xfId="6" applyNumberFormat="1" applyFont="1" applyFill="1" applyBorder="1" applyAlignment="1">
      <alignment horizontal="center" vertical="center" wrapText="1"/>
    </xf>
    <xf numFmtId="16" fontId="83" fillId="2" borderId="6" xfId="6" applyNumberFormat="1" applyFont="1" applyFill="1" applyBorder="1" applyAlignment="1">
      <alignment vertical="center" wrapText="1"/>
    </xf>
    <xf numFmtId="3" fontId="83" fillId="33" borderId="6" xfId="6" applyNumberFormat="1" applyFont="1" applyFill="1" applyBorder="1" applyAlignment="1">
      <alignment horizontal="right" vertical="center" wrapText="1"/>
    </xf>
    <xf numFmtId="3" fontId="83" fillId="2" borderId="6" xfId="6" applyNumberFormat="1" applyFont="1" applyFill="1" applyBorder="1" applyAlignment="1">
      <alignment horizontal="right" vertical="center" wrapText="1"/>
    </xf>
    <xf numFmtId="3" fontId="84" fillId="2" borderId="6" xfId="6" applyNumberFormat="1" applyFont="1" applyFill="1" applyBorder="1" applyAlignment="1">
      <alignment horizontal="center" vertical="center" wrapText="1"/>
    </xf>
    <xf numFmtId="16" fontId="83" fillId="0" borderId="1" xfId="6" applyNumberFormat="1" applyFont="1" applyBorder="1" applyAlignment="1">
      <alignment vertical="center" wrapText="1"/>
    </xf>
    <xf numFmtId="0" fontId="81" fillId="0" borderId="1" xfId="6" applyFont="1" applyBorder="1" applyAlignment="1">
      <alignment vertical="center" wrapText="1"/>
    </xf>
    <xf numFmtId="3" fontId="81" fillId="0" borderId="1" xfId="6" applyNumberFormat="1" applyFont="1" applyBorder="1" applyAlignment="1">
      <alignment horizontal="right" vertical="center"/>
    </xf>
    <xf numFmtId="3" fontId="81" fillId="0" borderId="1" xfId="6" applyNumberFormat="1" applyFont="1" applyBorder="1" applyAlignment="1">
      <alignment vertical="center"/>
    </xf>
    <xf numFmtId="3" fontId="82" fillId="0" borderId="1" xfId="6" applyNumberFormat="1" applyFont="1" applyBorder="1" applyAlignment="1">
      <alignment horizontal="center" vertical="center"/>
    </xf>
    <xf numFmtId="0" fontId="81" fillId="0" borderId="1" xfId="6" applyFont="1" applyBorder="1" applyAlignment="1" applyProtection="1">
      <alignment vertical="center" wrapText="1"/>
      <protection locked="0"/>
    </xf>
    <xf numFmtId="0" fontId="81" fillId="0" borderId="1" xfId="6" applyFont="1" applyBorder="1" applyAlignment="1">
      <alignment horizontal="left" vertical="center" wrapText="1"/>
    </xf>
    <xf numFmtId="0" fontId="81" fillId="0" borderId="1" xfId="6" applyFont="1" applyBorder="1" applyAlignment="1" applyProtection="1">
      <alignment horizontal="left" vertical="center" wrapText="1"/>
      <protection locked="0"/>
    </xf>
    <xf numFmtId="3" fontId="81" fillId="0" borderId="1" xfId="6" applyNumberFormat="1" applyFont="1" applyBorder="1" applyAlignment="1">
      <alignment horizontal="left" vertical="center" wrapText="1"/>
    </xf>
    <xf numFmtId="3" fontId="81" fillId="0" borderId="1" xfId="6" applyNumberFormat="1" applyFont="1" applyBorder="1" applyAlignment="1" applyProtection="1">
      <alignment horizontal="left" vertical="center" wrapText="1"/>
      <protection locked="0"/>
    </xf>
    <xf numFmtId="3" fontId="81" fillId="0" borderId="1" xfId="6" applyNumberFormat="1" applyFont="1" applyBorder="1" applyAlignment="1">
      <alignment vertical="center" wrapText="1"/>
    </xf>
    <xf numFmtId="3" fontId="81" fillId="0" borderId="1" xfId="6" applyNumberFormat="1" applyFont="1" applyBorder="1" applyAlignment="1" applyProtection="1">
      <alignment vertical="center" wrapText="1"/>
      <protection locked="0"/>
    </xf>
    <xf numFmtId="3" fontId="83" fillId="2" borderId="1" xfId="6" applyNumberFormat="1" applyFont="1" applyFill="1" applyBorder="1" applyAlignment="1">
      <alignment vertical="center" wrapText="1"/>
    </xf>
    <xf numFmtId="49" fontId="83" fillId="2" borderId="1" xfId="6" applyNumberFormat="1" applyFont="1" applyFill="1" applyBorder="1" applyAlignment="1">
      <alignment horizontal="left" vertical="center" wrapText="1"/>
    </xf>
    <xf numFmtId="49" fontId="83" fillId="0" borderId="1" xfId="6" applyNumberFormat="1" applyFont="1" applyBorder="1" applyAlignment="1">
      <alignment horizontal="left" vertical="center" wrapText="1"/>
    </xf>
    <xf numFmtId="0" fontId="48" fillId="0" borderId="1" xfId="12" applyNumberFormat="1" applyFont="1" applyFill="1" applyBorder="1" applyAlignment="1" applyProtection="1">
      <alignment horizontal="left" vertical="center" wrapText="1"/>
    </xf>
    <xf numFmtId="3" fontId="51" fillId="3" borderId="1" xfId="0" applyNumberFormat="1" applyFont="1" applyFill="1" applyBorder="1" applyAlignment="1" applyProtection="1">
      <alignment horizontal="left" vertical="center" wrapText="1"/>
      <protection locked="0"/>
    </xf>
    <xf numFmtId="1" fontId="78" fillId="0" borderId="1" xfId="0" applyNumberFormat="1" applyFont="1" applyBorder="1" applyAlignment="1">
      <alignment horizontal="right" vertical="center" wrapText="1"/>
    </xf>
    <xf numFmtId="1" fontId="78" fillId="0" borderId="1" xfId="0" quotePrefix="1" applyNumberFormat="1" applyFont="1" applyBorder="1" applyAlignment="1" applyProtection="1">
      <alignment horizontal="right" vertical="center" wrapText="1"/>
      <protection locked="0"/>
    </xf>
    <xf numFmtId="0" fontId="56" fillId="0" borderId="0" xfId="0" applyFont="1" applyAlignment="1">
      <alignment wrapText="1"/>
    </xf>
    <xf numFmtId="0" fontId="56" fillId="0" borderId="1" xfId="0" applyFont="1" applyBorder="1" applyAlignment="1">
      <alignment vertical="center" wrapText="1"/>
    </xf>
    <xf numFmtId="49" fontId="48" fillId="0" borderId="1" xfId="6" applyNumberFormat="1" applyFont="1" applyBorder="1" applyAlignment="1" applyProtection="1">
      <alignment horizontal="left" vertical="center" wrapText="1"/>
      <protection locked="0"/>
    </xf>
    <xf numFmtId="0" fontId="56" fillId="32" borderId="1" xfId="0" applyFont="1" applyFill="1" applyBorder="1" applyAlignment="1">
      <alignment wrapText="1"/>
    </xf>
    <xf numFmtId="49" fontId="48" fillId="32" borderId="1" xfId="6" applyNumberFormat="1" applyFont="1" applyFill="1" applyBorder="1" applyAlignment="1" applyProtection="1">
      <alignment horizontal="left" vertical="center" wrapText="1"/>
      <protection locked="0"/>
    </xf>
    <xf numFmtId="3" fontId="51" fillId="32" borderId="1" xfId="0" applyNumberFormat="1" applyFont="1" applyFill="1" applyBorder="1" applyAlignment="1">
      <alignment vertical="center" wrapText="1"/>
    </xf>
    <xf numFmtId="3" fontId="51" fillId="32" borderId="4" xfId="0" applyNumberFormat="1" applyFont="1" applyFill="1" applyBorder="1" applyAlignment="1">
      <alignment horizontal="left" vertical="center" wrapText="1"/>
    </xf>
    <xf numFmtId="3" fontId="51" fillId="32" borderId="1" xfId="0" applyNumberFormat="1" applyFont="1" applyFill="1" applyBorder="1" applyAlignment="1" applyProtection="1">
      <alignment horizontal="left" vertical="center" wrapText="1"/>
      <protection locked="0"/>
    </xf>
    <xf numFmtId="166" fontId="44" fillId="0" borderId="1" xfId="12" applyNumberFormat="1" applyFont="1" applyFill="1" applyBorder="1" applyAlignment="1" applyProtection="1">
      <alignment horizontal="left" vertical="center" wrapText="1"/>
      <protection locked="0"/>
    </xf>
    <xf numFmtId="3" fontId="60" fillId="3" borderId="1" xfId="0" applyNumberFormat="1" applyFont="1" applyFill="1" applyBorder="1" applyAlignment="1" applyProtection="1">
      <alignment horizontal="left" vertical="center" wrapText="1"/>
      <protection locked="0"/>
    </xf>
    <xf numFmtId="3" fontId="51" fillId="32" borderId="1" xfId="0" applyNumberFormat="1" applyFont="1" applyFill="1" applyBorder="1" applyAlignment="1" applyProtection="1">
      <alignment vertical="center" wrapText="1"/>
      <protection locked="0"/>
    </xf>
    <xf numFmtId="3" fontId="51" fillId="32" borderId="4" xfId="0" applyNumberFormat="1" applyFont="1" applyFill="1" applyBorder="1" applyAlignment="1">
      <alignment vertical="center" wrapText="1"/>
    </xf>
    <xf numFmtId="0" fontId="51" fillId="32" borderId="1" xfId="0" applyFont="1" applyFill="1" applyBorder="1" applyAlignment="1">
      <alignment horizontal="justify" vertical="center"/>
    </xf>
    <xf numFmtId="3" fontId="36" fillId="32" borderId="1" xfId="0" applyNumberFormat="1" applyFont="1" applyFill="1" applyBorder="1" applyAlignment="1" applyProtection="1">
      <alignment horizontal="left" vertical="center" wrapText="1"/>
      <protection locked="0"/>
    </xf>
    <xf numFmtId="3" fontId="36" fillId="32" borderId="1" xfId="0" applyNumberFormat="1" applyFont="1" applyFill="1" applyBorder="1" applyAlignment="1">
      <alignment vertical="center" wrapText="1"/>
    </xf>
    <xf numFmtId="0" fontId="51" fillId="32" borderId="1" xfId="0" applyFont="1" applyFill="1" applyBorder="1" applyAlignment="1">
      <alignment vertical="center" wrapText="1"/>
    </xf>
    <xf numFmtId="3" fontId="51" fillId="32" borderId="0" xfId="0" applyNumberFormat="1" applyFont="1" applyFill="1" applyAlignment="1">
      <alignment horizontal="left" vertical="center" wrapText="1"/>
    </xf>
    <xf numFmtId="0" fontId="71" fillId="32" borderId="1" xfId="0" applyFont="1" applyFill="1" applyBorder="1" applyAlignment="1">
      <alignment vertical="center" wrapText="1"/>
    </xf>
    <xf numFmtId="0" fontId="71" fillId="32" borderId="6" xfId="0" applyFont="1" applyFill="1" applyBorder="1" applyAlignment="1">
      <alignment vertical="center" wrapText="1"/>
    </xf>
    <xf numFmtId="49" fontId="71" fillId="32" borderId="1" xfId="6" applyNumberFormat="1" applyFont="1" applyFill="1" applyBorder="1" applyAlignment="1">
      <alignment vertical="top" wrapText="1"/>
    </xf>
    <xf numFmtId="49" fontId="42" fillId="32" borderId="1" xfId="1467" applyNumberFormat="1" applyFont="1" applyFill="1" applyBorder="1" applyAlignment="1" applyProtection="1">
      <alignment horizontal="left" vertical="top" wrapText="1"/>
      <protection locked="0"/>
    </xf>
    <xf numFmtId="166" fontId="44" fillId="0" borderId="1" xfId="12" applyNumberFormat="1" applyFont="1" applyBorder="1" applyAlignment="1" applyProtection="1">
      <alignment horizontal="center" vertical="center"/>
      <protection locked="0"/>
    </xf>
    <xf numFmtId="3" fontId="48" fillId="0" borderId="1" xfId="0" applyNumberFormat="1" applyFont="1" applyBorder="1" applyAlignment="1">
      <alignment horizontal="center" vertical="center" wrapText="1"/>
    </xf>
    <xf numFmtId="3" fontId="48" fillId="0" borderId="1" xfId="1467" applyNumberFormat="1" applyFont="1" applyBorder="1" applyAlignment="1" applyProtection="1">
      <alignment horizontal="center" vertical="center"/>
      <protection locked="0"/>
    </xf>
    <xf numFmtId="168" fontId="48" fillId="0" borderId="1" xfId="0" applyNumberFormat="1" applyFont="1" applyBorder="1" applyAlignment="1">
      <alignment horizontal="center" vertical="center"/>
    </xf>
    <xf numFmtId="168" fontId="48" fillId="0" borderId="0" xfId="0" applyNumberFormat="1" applyFont="1" applyAlignment="1">
      <alignment horizontal="center" vertical="center"/>
    </xf>
    <xf numFmtId="3" fontId="47" fillId="2" borderId="1" xfId="1467" applyNumberFormat="1" applyFont="1" applyFill="1" applyBorder="1" applyAlignment="1">
      <alignment horizontal="center" vertical="center"/>
    </xf>
    <xf numFmtId="3" fontId="47" fillId="6" borderId="1" xfId="1467" applyNumberFormat="1" applyFont="1" applyFill="1" applyBorder="1" applyAlignment="1">
      <alignment horizontal="center" vertical="center"/>
    </xf>
    <xf numFmtId="0" fontId="48" fillId="0" borderId="0" xfId="0" applyFont="1" applyAlignment="1">
      <alignment horizontal="center" vertical="center"/>
    </xf>
    <xf numFmtId="3" fontId="48" fillId="0" borderId="1" xfId="0" applyNumberFormat="1" applyFont="1" applyBorder="1" applyAlignment="1">
      <alignment horizontal="center" vertical="center"/>
    </xf>
    <xf numFmtId="0" fontId="69" fillId="34" borderId="1" xfId="0" applyFont="1" applyFill="1" applyBorder="1" applyAlignment="1">
      <alignment horizontal="right" vertical="center" wrapText="1"/>
    </xf>
    <xf numFmtId="3" fontId="69" fillId="34" borderId="1" xfId="0" applyNumberFormat="1" applyFont="1" applyFill="1" applyBorder="1" applyAlignment="1">
      <alignment horizontal="right" vertical="center" wrapText="1"/>
    </xf>
    <xf numFmtId="3" fontId="69" fillId="2" borderId="1" xfId="6" applyNumberFormat="1" applyFont="1" applyFill="1" applyBorder="1" applyAlignment="1">
      <alignment horizontal="right" vertical="center" wrapText="1"/>
    </xf>
    <xf numFmtId="3" fontId="69" fillId="4" borderId="1" xfId="6" applyNumberFormat="1" applyFont="1" applyFill="1" applyBorder="1" applyAlignment="1">
      <alignment horizontal="right" vertical="center" wrapText="1"/>
    </xf>
    <xf numFmtId="3" fontId="36" fillId="0" borderId="1" xfId="6" applyNumberFormat="1" applyFont="1" applyBorder="1" applyAlignment="1">
      <alignment horizontal="right" vertical="center" wrapText="1"/>
    </xf>
    <xf numFmtId="168" fontId="36" fillId="0" borderId="29" xfId="0" applyNumberFormat="1" applyFont="1" applyBorder="1"/>
    <xf numFmtId="3" fontId="36" fillId="0" borderId="1" xfId="6" applyNumberFormat="1" applyFont="1" applyBorder="1" applyAlignment="1" applyProtection="1">
      <alignment horizontal="right" vertical="center"/>
      <protection locked="0"/>
    </xf>
    <xf numFmtId="1" fontId="36" fillId="0" borderId="1" xfId="0" applyNumberFormat="1" applyFont="1" applyBorder="1" applyAlignment="1">
      <alignment horizontal="right" vertical="center" wrapText="1"/>
    </xf>
    <xf numFmtId="3" fontId="69" fillId="4" borderId="4" xfId="0" applyNumberFormat="1" applyFont="1" applyFill="1" applyBorder="1" applyAlignment="1">
      <alignment horizontal="right" vertical="center" wrapText="1"/>
    </xf>
    <xf numFmtId="3" fontId="69" fillId="34" borderId="1" xfId="0" applyNumberFormat="1" applyFont="1" applyFill="1" applyBorder="1" applyAlignment="1">
      <alignment horizontal="right"/>
    </xf>
    <xf numFmtId="0" fontId="86" fillId="0" borderId="0" xfId="0" applyFont="1"/>
    <xf numFmtId="3" fontId="74" fillId="6" borderId="1" xfId="0" applyNumberFormat="1" applyFont="1" applyFill="1" applyBorder="1" applyAlignment="1">
      <alignment horizontal="right" vertical="center"/>
    </xf>
    <xf numFmtId="3" fontId="74" fillId="0" borderId="1" xfId="0" applyNumberFormat="1" applyFont="1" applyBorder="1" applyAlignment="1" applyProtection="1">
      <alignment horizontal="right" vertical="center"/>
      <protection locked="0"/>
    </xf>
    <xf numFmtId="3" fontId="74" fillId="0" borderId="1" xfId="0" applyNumberFormat="1" applyFont="1" applyBorder="1" applyAlignment="1">
      <alignment horizontal="right" vertical="center"/>
    </xf>
    <xf numFmtId="3" fontId="74" fillId="2" borderId="1" xfId="0" applyNumberFormat="1" applyFont="1" applyFill="1" applyBorder="1" applyAlignment="1">
      <alignment horizontal="right" vertical="center"/>
    </xf>
    <xf numFmtId="3" fontId="71" fillId="0" borderId="1" xfId="0" applyNumberFormat="1" applyFont="1" applyBorder="1" applyAlignment="1">
      <alignment horizontal="right" vertical="center"/>
    </xf>
    <xf numFmtId="3" fontId="71" fillId="0" borderId="1" xfId="0" applyNumberFormat="1" applyFont="1" applyBorder="1" applyAlignment="1" applyProtection="1">
      <alignment horizontal="right" vertical="center"/>
      <protection locked="0"/>
    </xf>
    <xf numFmtId="3" fontId="71" fillId="0" borderId="1" xfId="0" applyNumberFormat="1" applyFont="1" applyBorder="1" applyAlignment="1" applyProtection="1">
      <alignment vertical="center"/>
      <protection locked="0"/>
    </xf>
    <xf numFmtId="49" fontId="74" fillId="32" borderId="7" xfId="0" applyNumberFormat="1" applyFont="1" applyFill="1" applyBorder="1" applyAlignment="1">
      <alignment vertical="center" wrapText="1"/>
    </xf>
    <xf numFmtId="49" fontId="74" fillId="32" borderId="6" xfId="0" applyNumberFormat="1" applyFont="1" applyFill="1" applyBorder="1" applyAlignment="1">
      <alignment vertical="center" wrapText="1"/>
    </xf>
    <xf numFmtId="0" fontId="71" fillId="32" borderId="4" xfId="6" applyFont="1" applyFill="1" applyBorder="1" applyAlignment="1">
      <alignment vertical="center" wrapText="1"/>
    </xf>
    <xf numFmtId="0" fontId="36" fillId="32" borderId="8" xfId="0" applyFont="1" applyFill="1" applyBorder="1" applyAlignment="1">
      <alignment vertical="center" wrapText="1"/>
    </xf>
    <xf numFmtId="0" fontId="36" fillId="32" borderId="28" xfId="0" applyFont="1" applyFill="1" applyBorder="1" applyAlignment="1">
      <alignment vertical="center" wrapText="1"/>
    </xf>
    <xf numFmtId="49" fontId="42" fillId="32" borderId="1" xfId="1" applyNumberFormat="1" applyFont="1" applyFill="1" applyBorder="1" applyAlignment="1">
      <alignment vertical="center" wrapText="1"/>
    </xf>
    <xf numFmtId="49" fontId="42" fillId="0" borderId="1" xfId="1" applyNumberFormat="1" applyFont="1" applyBorder="1" applyAlignment="1">
      <alignment vertical="center" wrapText="1"/>
    </xf>
    <xf numFmtId="49" fontId="42" fillId="32" borderId="1" xfId="1" applyNumberFormat="1" applyFont="1" applyFill="1" applyBorder="1" applyAlignment="1" applyProtection="1">
      <alignment horizontal="left" vertical="center" wrapText="1"/>
      <protection locked="0"/>
    </xf>
    <xf numFmtId="0" fontId="42" fillId="32" borderId="0" xfId="0" applyFont="1" applyFill="1" applyAlignment="1" applyProtection="1">
      <alignment wrapText="1"/>
      <protection locked="0"/>
    </xf>
    <xf numFmtId="3" fontId="43" fillId="2" borderId="1" xfId="1" applyNumberFormat="1" applyFont="1" applyFill="1" applyBorder="1" applyAlignment="1">
      <alignment horizontal="right" vertical="center"/>
    </xf>
    <xf numFmtId="3" fontId="42" fillId="0" borderId="1" xfId="1" applyNumberFormat="1" applyFont="1" applyBorder="1" applyAlignment="1" applyProtection="1">
      <alignment horizontal="right" vertical="center"/>
      <protection locked="0"/>
    </xf>
    <xf numFmtId="3" fontId="42" fillId="2" borderId="1" xfId="1" applyNumberFormat="1" applyFont="1" applyFill="1" applyBorder="1" applyAlignment="1">
      <alignment horizontal="right" vertical="center"/>
    </xf>
    <xf numFmtId="3" fontId="43" fillId="2" borderId="1" xfId="1" applyNumberFormat="1" applyFont="1" applyFill="1" applyBorder="1" applyAlignment="1" applyProtection="1">
      <alignment horizontal="right" vertical="center"/>
      <protection locked="0"/>
    </xf>
    <xf numFmtId="3" fontId="42" fillId="3" borderId="1" xfId="1" applyNumberFormat="1" applyFont="1" applyFill="1" applyBorder="1" applyAlignment="1" applyProtection="1">
      <alignment horizontal="right" vertical="center"/>
      <protection locked="0"/>
    </xf>
    <xf numFmtId="168" fontId="66" fillId="0" borderId="1" xfId="1" applyNumberFormat="1" applyFont="1" applyBorder="1"/>
    <xf numFmtId="3" fontId="52" fillId="4" borderId="1" xfId="0" applyNumberFormat="1" applyFont="1" applyFill="1" applyBorder="1" applyAlignment="1" applyProtection="1">
      <alignment vertical="center"/>
      <protection locked="0"/>
    </xf>
    <xf numFmtId="3" fontId="52" fillId="4" borderId="1" xfId="7" applyNumberFormat="1" applyFont="1" applyFill="1" applyBorder="1" applyAlignment="1" applyProtection="1">
      <alignment vertical="center"/>
      <protection locked="0"/>
    </xf>
    <xf numFmtId="3" fontId="52" fillId="4" borderId="1" xfId="5" applyNumberFormat="1" applyFont="1" applyFill="1" applyBorder="1" applyAlignment="1" applyProtection="1">
      <alignment vertical="center"/>
      <protection locked="0"/>
    </xf>
    <xf numFmtId="3" fontId="52" fillId="4" borderId="1" xfId="5" applyNumberFormat="1" applyFont="1" applyFill="1" applyBorder="1" applyAlignment="1" applyProtection="1">
      <alignment vertical="center" wrapText="1"/>
      <protection locked="0"/>
    </xf>
    <xf numFmtId="3" fontId="52" fillId="0" borderId="1" xfId="5" applyNumberFormat="1" applyFont="1" applyBorder="1" applyAlignment="1" applyProtection="1">
      <alignment vertical="center"/>
      <protection locked="0"/>
    </xf>
    <xf numFmtId="3" fontId="53" fillId="0" borderId="1" xfId="5" applyNumberFormat="1" applyFont="1" applyBorder="1" applyAlignment="1" applyProtection="1">
      <alignment vertical="center" wrapText="1"/>
      <protection locked="0"/>
    </xf>
    <xf numFmtId="1" fontId="53" fillId="0" borderId="1" xfId="0" applyNumberFormat="1" applyFont="1" applyBorder="1"/>
    <xf numFmtId="3" fontId="52" fillId="0" borderId="1" xfId="7" applyNumberFormat="1" applyFont="1" applyBorder="1" applyAlignment="1" applyProtection="1">
      <alignment vertical="center"/>
      <protection locked="0"/>
    </xf>
    <xf numFmtId="3" fontId="87" fillId="0" borderId="1" xfId="6" applyNumberFormat="1" applyFont="1" applyBorder="1" applyAlignment="1">
      <alignment vertical="center" wrapText="1"/>
    </xf>
    <xf numFmtId="3" fontId="53" fillId="0" borderId="1" xfId="5" applyNumberFormat="1" applyFont="1" applyBorder="1" applyAlignment="1" applyProtection="1">
      <alignment vertical="center"/>
      <protection locked="0"/>
    </xf>
    <xf numFmtId="3" fontId="53" fillId="0" borderId="1" xfId="7" applyNumberFormat="1" applyFont="1" applyBorder="1" applyAlignment="1" applyProtection="1">
      <alignment horizontal="right" vertical="center"/>
      <protection locked="0"/>
    </xf>
    <xf numFmtId="3" fontId="53" fillId="0" borderId="0" xfId="1" applyNumberFormat="1" applyFont="1" applyAlignment="1">
      <alignment horizontal="center"/>
    </xf>
    <xf numFmtId="3" fontId="52" fillId="0" borderId="1" xfId="5" applyNumberFormat="1" applyFont="1" applyBorder="1" applyAlignment="1" applyProtection="1">
      <alignment vertical="center" wrapText="1"/>
      <protection locked="0"/>
    </xf>
    <xf numFmtId="0" fontId="70" fillId="0" borderId="29" xfId="0" applyFont="1" applyBorder="1"/>
    <xf numFmtId="0" fontId="53" fillId="0" borderId="29" xfId="0" applyFont="1" applyBorder="1"/>
    <xf numFmtId="3" fontId="53" fillId="0" borderId="3" xfId="0" applyNumberFormat="1" applyFont="1" applyBorder="1" applyAlignment="1" applyProtection="1">
      <alignment horizontal="right" vertical="center"/>
      <protection locked="0"/>
    </xf>
    <xf numFmtId="3" fontId="52" fillId="4" borderId="4" xfId="0" applyNumberFormat="1" applyFont="1" applyFill="1" applyBorder="1" applyAlignment="1" applyProtection="1">
      <alignment horizontal="center" vertical="center"/>
      <protection locked="0"/>
    </xf>
    <xf numFmtId="3" fontId="53" fillId="0" borderId="1" xfId="0" applyNumberFormat="1" applyFont="1" applyBorder="1" applyAlignment="1" applyProtection="1">
      <alignment horizontal="center" vertical="center"/>
      <protection locked="0"/>
    </xf>
    <xf numFmtId="3" fontId="53" fillId="0" borderId="0" xfId="0" applyNumberFormat="1" applyFont="1" applyAlignment="1">
      <alignment horizontal="center"/>
    </xf>
    <xf numFmtId="3" fontId="53" fillId="0" borderId="1" xfId="0" applyNumberFormat="1" applyFont="1" applyBorder="1" applyAlignment="1">
      <alignment horizontal="center"/>
    </xf>
    <xf numFmtId="3" fontId="52" fillId="2" borderId="1" xfId="0" applyNumberFormat="1" applyFont="1" applyFill="1" applyBorder="1" applyAlignment="1" applyProtection="1">
      <alignment horizontal="center" vertical="center"/>
      <protection locked="0"/>
    </xf>
    <xf numFmtId="3" fontId="52" fillId="2" borderId="1" xfId="1" applyNumberFormat="1" applyFont="1" applyFill="1" applyBorder="1" applyAlignment="1">
      <alignment horizontal="center" vertical="center"/>
    </xf>
    <xf numFmtId="3" fontId="52" fillId="2" borderId="1" xfId="1" applyNumberFormat="1" applyFont="1" applyFill="1" applyBorder="1" applyAlignment="1">
      <alignment vertical="center"/>
    </xf>
    <xf numFmtId="3" fontId="53" fillId="2" borderId="1" xfId="1" applyNumberFormat="1" applyFont="1" applyFill="1" applyBorder="1" applyAlignment="1">
      <alignment vertical="center" wrapText="1"/>
    </xf>
    <xf numFmtId="3" fontId="53" fillId="0" borderId="1" xfId="1" applyNumberFormat="1" applyFont="1" applyBorder="1" applyAlignment="1">
      <alignment horizontal="center" vertical="center"/>
    </xf>
    <xf numFmtId="3" fontId="52" fillId="0" borderId="1" xfId="1" applyNumberFormat="1" applyFont="1" applyBorder="1" applyAlignment="1">
      <alignment vertical="center"/>
    </xf>
    <xf numFmtId="0" fontId="51" fillId="0" borderId="0" xfId="1" applyFont="1" applyAlignment="1">
      <alignment vertical="center" wrapText="1"/>
    </xf>
    <xf numFmtId="3" fontId="52" fillId="0" borderId="1" xfId="1" applyNumberFormat="1" applyFont="1" applyBorder="1" applyAlignment="1">
      <alignment horizontal="center" vertical="center"/>
    </xf>
    <xf numFmtId="3" fontId="53" fillId="0" borderId="1" xfId="1" applyNumberFormat="1" applyFont="1" applyBorder="1" applyAlignment="1">
      <alignment vertical="center"/>
    </xf>
    <xf numFmtId="3" fontId="53" fillId="0" borderId="5" xfId="1" applyNumberFormat="1" applyFont="1" applyBorder="1" applyAlignment="1">
      <alignment vertical="center"/>
    </xf>
    <xf numFmtId="0" fontId="53" fillId="0" borderId="1" xfId="1" applyFont="1" applyBorder="1" applyAlignment="1">
      <alignment vertical="center" wrapText="1"/>
    </xf>
    <xf numFmtId="3" fontId="52" fillId="2" borderId="1" xfId="1" applyNumberFormat="1" applyFont="1" applyFill="1" applyBorder="1" applyAlignment="1">
      <alignment vertical="center" wrapText="1"/>
    </xf>
    <xf numFmtId="3" fontId="53" fillId="0" borderId="1" xfId="1" applyNumberFormat="1" applyFont="1" applyBorder="1" applyAlignment="1">
      <alignment horizontal="right" vertical="center"/>
    </xf>
    <xf numFmtId="168" fontId="53" fillId="0" borderId="1" xfId="0" applyNumberFormat="1" applyFont="1" applyBorder="1"/>
    <xf numFmtId="168" fontId="53" fillId="0" borderId="1" xfId="1" applyNumberFormat="1" applyFont="1" applyBorder="1" applyAlignment="1">
      <alignment vertical="center"/>
    </xf>
    <xf numFmtId="168" fontId="53" fillId="0" borderId="25" xfId="0" applyNumberFormat="1" applyFont="1" applyBorder="1"/>
    <xf numFmtId="168" fontId="53" fillId="0" borderId="26" xfId="0" applyNumberFormat="1" applyFont="1" applyBorder="1"/>
    <xf numFmtId="168" fontId="53" fillId="0" borderId="1" xfId="1" applyNumberFormat="1" applyFont="1" applyBorder="1" applyAlignment="1">
      <alignment horizontal="right"/>
    </xf>
    <xf numFmtId="168" fontId="53" fillId="0" borderId="3" xfId="1" applyNumberFormat="1" applyFont="1" applyBorder="1" applyAlignment="1">
      <alignment vertical="center"/>
    </xf>
    <xf numFmtId="168" fontId="53" fillId="0" borderId="3" xfId="1" applyNumberFormat="1" applyFont="1" applyBorder="1"/>
    <xf numFmtId="3" fontId="53" fillId="3" borderId="1" xfId="1" applyNumberFormat="1" applyFont="1" applyFill="1" applyBorder="1" applyAlignment="1">
      <alignment horizontal="right" vertical="center"/>
    </xf>
    <xf numFmtId="3" fontId="53" fillId="0" borderId="3" xfId="1" applyNumberFormat="1" applyFont="1" applyBorder="1"/>
    <xf numFmtId="3" fontId="53" fillId="0" borderId="1" xfId="1" applyNumberFormat="1" applyFont="1" applyBorder="1"/>
    <xf numFmtId="3" fontId="53" fillId="0" borderId="1" xfId="1" applyNumberFormat="1" applyFont="1" applyBorder="1" applyAlignment="1">
      <alignment horizontal="right"/>
    </xf>
    <xf numFmtId="0" fontId="51" fillId="32" borderId="4" xfId="0" applyFont="1" applyFill="1" applyBorder="1" applyAlignment="1">
      <alignment horizontal="left" vertical="center" wrapText="1"/>
    </xf>
    <xf numFmtId="0" fontId="51" fillId="32" borderId="7" xfId="0" applyFont="1" applyFill="1" applyBorder="1" applyAlignment="1">
      <alignment horizontal="left" vertical="center" wrapText="1"/>
    </xf>
    <xf numFmtId="0" fontId="51" fillId="32" borderId="6" xfId="0" applyFont="1" applyFill="1" applyBorder="1" applyAlignment="1">
      <alignment horizontal="left" vertical="center" wrapText="1"/>
    </xf>
    <xf numFmtId="3" fontId="51" fillId="32" borderId="4" xfId="0" applyNumberFormat="1" applyFont="1" applyFill="1" applyBorder="1" applyAlignment="1">
      <alignment horizontal="left" vertical="center" wrapText="1"/>
    </xf>
    <xf numFmtId="3" fontId="51" fillId="32" borderId="7" xfId="0" applyNumberFormat="1" applyFont="1" applyFill="1" applyBorder="1" applyAlignment="1">
      <alignment horizontal="left" vertical="center" wrapText="1"/>
    </xf>
    <xf numFmtId="3" fontId="51" fillId="32" borderId="6" xfId="0" applyNumberFormat="1" applyFont="1" applyFill="1" applyBorder="1" applyAlignment="1">
      <alignment horizontal="left" vertical="center" wrapText="1"/>
    </xf>
    <xf numFmtId="3" fontId="50" fillId="32" borderId="7" xfId="0" applyNumberFormat="1" applyFont="1" applyFill="1" applyBorder="1" applyAlignment="1">
      <alignment horizontal="left" vertical="center" wrapText="1"/>
    </xf>
    <xf numFmtId="3" fontId="50" fillId="32" borderId="6" xfId="0" applyNumberFormat="1" applyFont="1" applyFill="1" applyBorder="1" applyAlignment="1">
      <alignment horizontal="left" vertical="center" wrapText="1"/>
    </xf>
    <xf numFmtId="3" fontId="60" fillId="0" borderId="4" xfId="0" applyNumberFormat="1" applyFont="1" applyBorder="1" applyAlignment="1">
      <alignment horizontal="center" vertical="center" wrapText="1"/>
    </xf>
    <xf numFmtId="3" fontId="60" fillId="0" borderId="7" xfId="0" applyNumberFormat="1" applyFont="1" applyBorder="1" applyAlignment="1">
      <alignment horizontal="center" vertical="center" wrapText="1"/>
    </xf>
    <xf numFmtId="3" fontId="60" fillId="0" borderId="6" xfId="0" applyNumberFormat="1" applyFont="1" applyBorder="1" applyAlignment="1">
      <alignment horizontal="center" vertical="center" wrapText="1"/>
    </xf>
    <xf numFmtId="3" fontId="51" fillId="0" borderId="4" xfId="0" applyNumberFormat="1" applyFont="1" applyBorder="1" applyAlignment="1">
      <alignment horizontal="left" vertical="center" wrapText="1"/>
    </xf>
    <xf numFmtId="3" fontId="51" fillId="0" borderId="7" xfId="0" applyNumberFormat="1" applyFont="1" applyBorder="1" applyAlignment="1">
      <alignment horizontal="left" vertical="center" wrapText="1"/>
    </xf>
    <xf numFmtId="3" fontId="51" fillId="0" borderId="6" xfId="0" applyNumberFormat="1" applyFont="1" applyBorder="1" applyAlignment="1">
      <alignment horizontal="left" vertical="center" wrapText="1"/>
    </xf>
    <xf numFmtId="3" fontId="51" fillId="0" borderId="0" xfId="0" applyNumberFormat="1" applyFont="1" applyAlignment="1">
      <alignment horizontal="left" vertical="center" wrapText="1"/>
    </xf>
    <xf numFmtId="49" fontId="51" fillId="32" borderId="4" xfId="6" applyNumberFormat="1" applyFont="1" applyFill="1" applyBorder="1" applyAlignment="1">
      <alignment horizontal="left" vertical="center" wrapText="1"/>
    </xf>
    <xf numFmtId="49" fontId="51" fillId="32" borderId="7" xfId="6" applyNumberFormat="1" applyFont="1" applyFill="1" applyBorder="1" applyAlignment="1">
      <alignment horizontal="left" vertical="center" wrapText="1"/>
    </xf>
    <xf numFmtId="49" fontId="51" fillId="32" borderId="6" xfId="6" applyNumberFormat="1" applyFont="1" applyFill="1" applyBorder="1" applyAlignment="1">
      <alignment horizontal="left" vertical="center" wrapText="1"/>
    </xf>
    <xf numFmtId="3" fontId="36" fillId="32" borderId="4" xfId="0" applyNumberFormat="1" applyFont="1" applyFill="1" applyBorder="1" applyAlignment="1">
      <alignment vertical="center" wrapText="1"/>
    </xf>
    <xf numFmtId="3" fontId="36" fillId="32" borderId="7" xfId="0" applyNumberFormat="1" applyFont="1" applyFill="1" applyBorder="1" applyAlignment="1">
      <alignment vertical="center" wrapText="1"/>
    </xf>
    <xf numFmtId="3" fontId="36" fillId="32" borderId="6" xfId="0" applyNumberFormat="1" applyFont="1" applyFill="1" applyBorder="1" applyAlignment="1">
      <alignment vertical="center" wrapText="1"/>
    </xf>
    <xf numFmtId="3" fontId="60" fillId="32" borderId="7" xfId="0" applyNumberFormat="1" applyFont="1" applyFill="1" applyBorder="1" applyAlignment="1">
      <alignment horizontal="left" vertical="center" wrapText="1"/>
    </xf>
    <xf numFmtId="3" fontId="60" fillId="32" borderId="6" xfId="0" applyNumberFormat="1" applyFont="1" applyFill="1" applyBorder="1" applyAlignment="1">
      <alignment horizontal="left" vertical="center" wrapText="1"/>
    </xf>
    <xf numFmtId="3" fontId="51" fillId="32" borderId="1" xfId="0" applyNumberFormat="1" applyFont="1" applyFill="1" applyBorder="1" applyAlignment="1">
      <alignment horizontal="left" vertical="center" wrapText="1"/>
    </xf>
    <xf numFmtId="0" fontId="36" fillId="32" borderId="4" xfId="0" applyFont="1" applyFill="1" applyBorder="1" applyAlignment="1">
      <alignment horizontal="left" vertical="center" wrapText="1"/>
    </xf>
    <xf numFmtId="0" fontId="36" fillId="32" borderId="7" xfId="0" applyFont="1" applyFill="1" applyBorder="1" applyAlignment="1">
      <alignment horizontal="left" vertical="center" wrapText="1"/>
    </xf>
    <xf numFmtId="0" fontId="36" fillId="32" borderId="6" xfId="0" applyFont="1" applyFill="1" applyBorder="1" applyAlignment="1">
      <alignment horizontal="left" vertical="center" wrapText="1"/>
    </xf>
    <xf numFmtId="0" fontId="48" fillId="0" borderId="0" xfId="1467" applyFont="1" applyAlignment="1">
      <alignment horizontal="left" vertical="center" wrapText="1"/>
    </xf>
    <xf numFmtId="49" fontId="42" fillId="32" borderId="4" xfId="1467" applyNumberFormat="1" applyFont="1" applyFill="1" applyBorder="1" applyAlignment="1" applyProtection="1">
      <alignment horizontal="left" vertical="center" wrapText="1"/>
      <protection locked="0"/>
    </xf>
    <xf numFmtId="49" fontId="42" fillId="32" borderId="7" xfId="1467" applyNumberFormat="1" applyFont="1" applyFill="1" applyBorder="1" applyAlignment="1" applyProtection="1">
      <alignment horizontal="left" vertical="center" wrapText="1"/>
      <protection locked="0"/>
    </xf>
    <xf numFmtId="49" fontId="42" fillId="32" borderId="6" xfId="1467" applyNumberFormat="1" applyFont="1" applyFill="1" applyBorder="1" applyAlignment="1" applyProtection="1">
      <alignment horizontal="left" vertical="center" wrapText="1"/>
      <protection locked="0"/>
    </xf>
    <xf numFmtId="49" fontId="42" fillId="32" borderId="4" xfId="1" applyNumberFormat="1" applyFont="1" applyFill="1" applyBorder="1" applyAlignment="1">
      <alignment horizontal="left" vertical="center" wrapText="1"/>
    </xf>
    <xf numFmtId="49" fontId="42" fillId="32" borderId="7" xfId="1" applyNumberFormat="1" applyFont="1" applyFill="1" applyBorder="1" applyAlignment="1">
      <alignment horizontal="left" vertical="center" wrapText="1"/>
    </xf>
    <xf numFmtId="49" fontId="42" fillId="32" borderId="6" xfId="1" applyNumberFormat="1" applyFont="1" applyFill="1" applyBorder="1" applyAlignment="1">
      <alignment horizontal="left" vertical="center" wrapText="1"/>
    </xf>
    <xf numFmtId="0" fontId="43" fillId="3" borderId="5" xfId="1" applyFont="1" applyFill="1" applyBorder="1" applyAlignment="1" applyProtection="1">
      <alignment horizontal="center" vertical="center"/>
      <protection locked="0"/>
    </xf>
    <xf numFmtId="0" fontId="43" fillId="3" borderId="9" xfId="1" applyFont="1" applyFill="1" applyBorder="1" applyAlignment="1" applyProtection="1">
      <alignment horizontal="center" vertical="center"/>
      <protection locked="0"/>
    </xf>
    <xf numFmtId="49" fontId="42" fillId="0" borderId="4" xfId="1" applyNumberFormat="1" applyFont="1" applyBorder="1" applyAlignment="1">
      <alignment horizontal="center" vertical="center"/>
    </xf>
    <xf numFmtId="49" fontId="42" fillId="0" borderId="7" xfId="1" applyNumberFormat="1" applyFont="1" applyBorder="1" applyAlignment="1">
      <alignment horizontal="center" vertical="center"/>
    </xf>
    <xf numFmtId="49" fontId="42" fillId="0" borderId="6" xfId="1" applyNumberFormat="1" applyFont="1" applyBorder="1" applyAlignment="1">
      <alignment horizontal="center" vertical="center"/>
    </xf>
    <xf numFmtId="0" fontId="42" fillId="3" borderId="5" xfId="1" applyFont="1" applyFill="1" applyBorder="1" applyAlignment="1" applyProtection="1">
      <alignment horizontal="center" vertical="center"/>
      <protection locked="0"/>
    </xf>
    <xf numFmtId="0" fontId="42" fillId="3" borderId="9" xfId="1" applyFont="1" applyFill="1" applyBorder="1" applyAlignment="1" applyProtection="1">
      <alignment horizontal="center" vertical="center"/>
      <protection locked="0"/>
    </xf>
    <xf numFmtId="49" fontId="71" fillId="32" borderId="24" xfId="6" applyNumberFormat="1" applyFont="1" applyFill="1" applyBorder="1" applyAlignment="1">
      <alignment horizontal="left" vertical="center" wrapText="1"/>
    </xf>
    <xf numFmtId="49" fontId="71" fillId="32" borderId="8" xfId="6" applyNumberFormat="1" applyFont="1" applyFill="1" applyBorder="1" applyAlignment="1">
      <alignment horizontal="left" vertical="center" wrapText="1"/>
    </xf>
    <xf numFmtId="49" fontId="71" fillId="32" borderId="28" xfId="6" applyNumberFormat="1" applyFont="1" applyFill="1" applyBorder="1" applyAlignment="1">
      <alignment horizontal="left" vertical="center" wrapText="1"/>
    </xf>
    <xf numFmtId="16" fontId="83" fillId="3" borderId="9" xfId="6" applyNumberFormat="1" applyFont="1" applyFill="1" applyBorder="1" applyAlignment="1">
      <alignment horizontal="left" vertical="center" wrapText="1"/>
    </xf>
    <xf numFmtId="0" fontId="71" fillId="0" borderId="0" xfId="0" applyFont="1" applyAlignment="1">
      <alignment horizontal="left" vertical="center" wrapText="1"/>
    </xf>
    <xf numFmtId="0" fontId="71" fillId="32" borderId="1" xfId="6" applyFont="1" applyFill="1" applyBorder="1" applyAlignment="1">
      <alignment horizontal="left" vertical="center" wrapText="1"/>
    </xf>
    <xf numFmtId="49" fontId="74" fillId="0" borderId="4" xfId="6" applyNumberFormat="1" applyFont="1" applyBorder="1" applyAlignment="1">
      <alignment horizontal="center" vertical="center" wrapText="1"/>
    </xf>
    <xf numFmtId="49" fontId="74" fillId="0" borderId="7" xfId="6" applyNumberFormat="1" applyFont="1" applyBorder="1" applyAlignment="1">
      <alignment horizontal="center" vertical="center" wrapText="1"/>
    </xf>
    <xf numFmtId="49" fontId="74" fillId="0" borderId="6" xfId="6" applyNumberFormat="1" applyFont="1" applyBorder="1" applyAlignment="1">
      <alignment horizontal="center" vertical="center" wrapText="1"/>
    </xf>
    <xf numFmtId="49" fontId="74" fillId="0" borderId="4" xfId="6" applyNumberFormat="1" applyFont="1" applyBorder="1" applyAlignment="1">
      <alignment horizontal="center" vertical="center"/>
    </xf>
    <xf numFmtId="49" fontId="74" fillId="0" borderId="7" xfId="6" applyNumberFormat="1" applyFont="1" applyBorder="1" applyAlignment="1">
      <alignment horizontal="center" vertical="center"/>
    </xf>
    <xf numFmtId="49" fontId="74" fillId="0" borderId="6" xfId="6" applyNumberFormat="1" applyFont="1" applyBorder="1" applyAlignment="1">
      <alignment horizontal="center" vertical="center"/>
    </xf>
    <xf numFmtId="49" fontId="71" fillId="0" borderId="4" xfId="6" applyNumberFormat="1" applyFont="1" applyBorder="1" applyAlignment="1">
      <alignment vertical="center" wrapText="1"/>
    </xf>
    <xf numFmtId="49" fontId="71" fillId="0" borderId="7" xfId="6" applyNumberFormat="1" applyFont="1" applyBorder="1" applyAlignment="1">
      <alignment vertical="center" wrapText="1"/>
    </xf>
    <xf numFmtId="49" fontId="71" fillId="0" borderId="6" xfId="6" applyNumberFormat="1" applyFont="1" applyBorder="1" applyAlignment="1">
      <alignment vertical="center" wrapText="1"/>
    </xf>
    <xf numFmtId="49" fontId="71" fillId="32" borderId="4" xfId="6" applyNumberFormat="1" applyFont="1" applyFill="1" applyBorder="1" applyAlignment="1">
      <alignment horizontal="left" vertical="center" wrapText="1"/>
    </xf>
    <xf numFmtId="49" fontId="71" fillId="32" borderId="7" xfId="6" applyNumberFormat="1" applyFont="1" applyFill="1" applyBorder="1" applyAlignment="1">
      <alignment horizontal="left" vertical="center" wrapText="1"/>
    </xf>
    <xf numFmtId="49" fontId="71" fillId="32" borderId="6" xfId="6" applyNumberFormat="1" applyFont="1" applyFill="1" applyBorder="1" applyAlignment="1">
      <alignment horizontal="left" vertical="center" wrapText="1"/>
    </xf>
    <xf numFmtId="3" fontId="71" fillId="32" borderId="4" xfId="0" applyNumberFormat="1" applyFont="1" applyFill="1" applyBorder="1" applyAlignment="1">
      <alignment horizontal="left" vertical="center" wrapText="1"/>
    </xf>
    <xf numFmtId="3" fontId="75" fillId="32" borderId="7" xfId="0" applyNumberFormat="1" applyFont="1" applyFill="1" applyBorder="1" applyAlignment="1">
      <alignment horizontal="left" vertical="center" wrapText="1"/>
    </xf>
    <xf numFmtId="3" fontId="75" fillId="32" borderId="6" xfId="0" applyNumberFormat="1" applyFont="1" applyFill="1" applyBorder="1" applyAlignment="1">
      <alignment horizontal="left" vertical="center" wrapText="1"/>
    </xf>
    <xf numFmtId="49" fontId="71" fillId="32" borderId="4" xfId="0" applyNumberFormat="1" applyFont="1" applyFill="1" applyBorder="1" applyAlignment="1">
      <alignment horizontal="left" vertical="center" wrapText="1"/>
    </xf>
    <xf numFmtId="49" fontId="74" fillId="32" borderId="7" xfId="0" applyNumberFormat="1" applyFont="1" applyFill="1" applyBorder="1" applyAlignment="1">
      <alignment horizontal="left" vertical="center" wrapText="1"/>
    </xf>
    <xf numFmtId="49" fontId="74" fillId="32" borderId="6" xfId="0" applyNumberFormat="1" applyFont="1" applyFill="1" applyBorder="1" applyAlignment="1">
      <alignment horizontal="left" vertical="center" wrapText="1"/>
    </xf>
    <xf numFmtId="0" fontId="71" fillId="32" borderId="4" xfId="0" applyFont="1" applyFill="1" applyBorder="1" applyAlignment="1">
      <alignment horizontal="left" vertical="center" wrapText="1"/>
    </xf>
    <xf numFmtId="0" fontId="71" fillId="32" borderId="7" xfId="0" applyFont="1" applyFill="1" applyBorder="1" applyAlignment="1">
      <alignment horizontal="left" vertical="center" wrapText="1"/>
    </xf>
    <xf numFmtId="0" fontId="71" fillId="32" borderId="6" xfId="0" applyFont="1" applyFill="1" applyBorder="1" applyAlignment="1">
      <alignment horizontal="left" vertical="center" wrapText="1"/>
    </xf>
    <xf numFmtId="49" fontId="71" fillId="0" borderId="4" xfId="6" applyNumberFormat="1" applyFont="1" applyBorder="1" applyAlignment="1">
      <alignment horizontal="left" vertical="center" wrapText="1"/>
    </xf>
    <xf numFmtId="49" fontId="71" fillId="0" borderId="7" xfId="6" applyNumberFormat="1" applyFont="1" applyBorder="1" applyAlignment="1">
      <alignment horizontal="left" vertical="center" wrapText="1"/>
    </xf>
    <xf numFmtId="49" fontId="71" fillId="0" borderId="6" xfId="6" applyNumberFormat="1" applyFont="1" applyBorder="1" applyAlignment="1">
      <alignment horizontal="left" vertical="center" wrapText="1"/>
    </xf>
    <xf numFmtId="0" fontId="36" fillId="32" borderId="24" xfId="0" applyFont="1" applyFill="1" applyBorder="1" applyAlignment="1">
      <alignment horizontal="left" vertical="center" wrapText="1"/>
    </xf>
    <xf numFmtId="0" fontId="36" fillId="32" borderId="8" xfId="0" applyFont="1" applyFill="1" applyBorder="1" applyAlignment="1">
      <alignment horizontal="left" vertical="center" wrapText="1"/>
    </xf>
    <xf numFmtId="0" fontId="71" fillId="32" borderId="7" xfId="6" applyFont="1" applyFill="1" applyBorder="1" applyAlignment="1">
      <alignment horizontal="left" vertical="center" wrapText="1"/>
    </xf>
    <xf numFmtId="0" fontId="36" fillId="32" borderId="28" xfId="0" applyFont="1" applyFill="1" applyBorder="1" applyAlignment="1">
      <alignment horizontal="left" vertical="center" wrapText="1"/>
    </xf>
    <xf numFmtId="0" fontId="42" fillId="0" borderId="0" xfId="0" applyFont="1" applyAlignment="1">
      <alignment horizontal="left" vertical="center" wrapText="1"/>
    </xf>
    <xf numFmtId="0" fontId="36" fillId="32" borderId="24" xfId="0" applyFont="1" applyFill="1" applyBorder="1" applyAlignment="1">
      <alignment horizontal="center" vertical="top" wrapText="1"/>
    </xf>
    <xf numFmtId="0" fontId="36" fillId="32" borderId="8" xfId="0" applyFont="1" applyFill="1" applyBorder="1" applyAlignment="1">
      <alignment horizontal="center" vertical="top" wrapText="1"/>
    </xf>
    <xf numFmtId="0" fontId="36" fillId="32" borderId="28" xfId="0" applyFont="1" applyFill="1" applyBorder="1" applyAlignment="1">
      <alignment horizontal="center" vertical="top"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3" fontId="36" fillId="0" borderId="1" xfId="0" applyNumberFormat="1" applyFont="1" applyBorder="1" applyAlignment="1">
      <alignment horizontal="center" vertical="center" wrapText="1"/>
    </xf>
    <xf numFmtId="0" fontId="68" fillId="0" borderId="1" xfId="0" applyFont="1" applyBorder="1" applyAlignment="1">
      <alignment horizontal="center" vertical="center" wrapText="1"/>
    </xf>
    <xf numFmtId="0" fontId="36" fillId="32" borderId="4" xfId="0" applyFont="1" applyFill="1" applyBorder="1" applyAlignment="1">
      <alignment vertical="top" wrapText="1"/>
    </xf>
    <xf numFmtId="0" fontId="36" fillId="32" borderId="7" xfId="0" applyFont="1" applyFill="1" applyBorder="1" applyAlignment="1">
      <alignment vertical="top" wrapText="1"/>
    </xf>
    <xf numFmtId="0" fontId="36" fillId="32" borderId="6" xfId="0" applyFont="1" applyFill="1" applyBorder="1" applyAlignment="1">
      <alignment vertical="top" wrapText="1"/>
    </xf>
    <xf numFmtId="0" fontId="36" fillId="32" borderId="4" xfId="0" applyFont="1" applyFill="1" applyBorder="1" applyAlignment="1">
      <alignment horizontal="left" vertical="top" wrapText="1"/>
    </xf>
    <xf numFmtId="0" fontId="36" fillId="32" borderId="7" xfId="0" applyFont="1" applyFill="1" applyBorder="1" applyAlignment="1">
      <alignment horizontal="left" vertical="top" wrapText="1"/>
    </xf>
    <xf numFmtId="0" fontId="36" fillId="32" borderId="6" xfId="0" applyFont="1" applyFill="1" applyBorder="1" applyAlignment="1">
      <alignment horizontal="left" vertical="top" wrapText="1"/>
    </xf>
    <xf numFmtId="0" fontId="36" fillId="32" borderId="24" xfId="0" applyFont="1" applyFill="1" applyBorder="1" applyAlignment="1">
      <alignment horizontal="left" vertical="top" wrapText="1"/>
    </xf>
    <xf numFmtId="0" fontId="36" fillId="32" borderId="8" xfId="0" applyFont="1" applyFill="1" applyBorder="1" applyAlignment="1">
      <alignment horizontal="left" vertical="top" wrapText="1"/>
    </xf>
    <xf numFmtId="0" fontId="36" fillId="32" borderId="28" xfId="0" applyFont="1" applyFill="1" applyBorder="1" applyAlignment="1">
      <alignment horizontal="left" vertical="top" wrapText="1"/>
    </xf>
  </cellXfs>
  <cellStyles count="1490">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0] 2 2" xfId="1473" xr:uid="{7907EFC0-828F-43C5-A68F-04ADBA3498E4}"/>
    <cellStyle name="Comma 2" xfId="924" xr:uid="{00000000-0005-0000-0000-00008F030000}"/>
    <cellStyle name="Comma 2 2" xfId="925" xr:uid="{00000000-0005-0000-0000-000090030000}"/>
    <cellStyle name="Comma 2 3" xfId="926" xr:uid="{00000000-0005-0000-0000-000091030000}"/>
    <cellStyle name="Comma 2 4" xfId="927" xr:uid="{00000000-0005-0000-0000-000092030000}"/>
    <cellStyle name="Comma 2 4 2" xfId="928" xr:uid="{00000000-0005-0000-0000-000093030000}"/>
    <cellStyle name="Comma 2 5" xfId="929" xr:uid="{00000000-0005-0000-0000-000094030000}"/>
    <cellStyle name="Comma 2 5 2" xfId="930" xr:uid="{00000000-0005-0000-0000-000095030000}"/>
    <cellStyle name="Comma 2 6" xfId="931" xr:uid="{00000000-0005-0000-0000-000096030000}"/>
    <cellStyle name="Comma 2 7" xfId="932" xr:uid="{00000000-0005-0000-0000-000097030000}"/>
    <cellStyle name="Comma 3" xfId="933" xr:uid="{00000000-0005-0000-0000-000098030000}"/>
    <cellStyle name="Comma 3 2" xfId="934" xr:uid="{00000000-0005-0000-0000-000099030000}"/>
    <cellStyle name="Comma 3 2 2" xfId="1475" xr:uid="{2C9F5BE4-2ECE-4C60-A6D1-6F3DDD74C398}"/>
    <cellStyle name="Comma 3 3" xfId="1474" xr:uid="{9C066659-54AD-4A10-A54B-CDB9050792D3}"/>
    <cellStyle name="Comma 4" xfId="9" xr:uid="{00000000-0005-0000-0000-00009A030000}"/>
    <cellStyle name="Comma 4 2" xfId="936" xr:uid="{00000000-0005-0000-0000-00009B030000}"/>
    <cellStyle name="Comma 4 2 2" xfId="1477" xr:uid="{16F01445-7CC5-475D-B84B-200561307486}"/>
    <cellStyle name="Comma 4 3" xfId="935" xr:uid="{00000000-0005-0000-0000-00009C030000}"/>
    <cellStyle name="Comma 4 3 2" xfId="1476" xr:uid="{0BCD7A87-406F-4A4C-B341-4A5837CFD083}"/>
    <cellStyle name="Comma 4 4" xfId="1472" xr:uid="{0D76DE59-C2F6-41CC-9667-D66161F1100A}"/>
    <cellStyle name="Comma 5" xfId="1465" xr:uid="{00000000-0005-0000-0000-00009D030000}"/>
    <cellStyle name="Comma 5 2" xfId="1489" xr:uid="{8AB963B3-0093-42E0-B3BA-AA8D3D05A4B4}"/>
    <cellStyle name="Comma 6" xfId="1459" xr:uid="{00000000-0005-0000-0000-00009E030000}"/>
    <cellStyle name="Comma 6 2" xfId="1484" xr:uid="{47EFAAAD-66E4-4495-8B35-FFC25F47E06E}"/>
    <cellStyle name="Currency 2" xfId="1464" xr:uid="{00000000-0005-0000-0000-00009F030000}"/>
    <cellStyle name="Currency 2 2" xfId="1488" xr:uid="{3CB7FFB7-1F04-4D9A-96B3-66AF1DC391EF}"/>
    <cellStyle name="Currency 3" xfId="1463" xr:uid="{00000000-0005-0000-0000-0000A0030000}"/>
    <cellStyle name="Currency 3 2" xfId="1487" xr:uid="{CF78EF40-08CF-4383-9397-AE11328F8A15}"/>
    <cellStyle name="Currency 4" xfId="1460" xr:uid="{00000000-0005-0000-0000-0000A1030000}"/>
    <cellStyle name="Explanatory Text 10" xfId="937" xr:uid="{00000000-0005-0000-0000-0000A2030000}"/>
    <cellStyle name="Explanatory Text 11" xfId="938" xr:uid="{00000000-0005-0000-0000-0000A3030000}"/>
    <cellStyle name="Explanatory Text 12" xfId="939" xr:uid="{00000000-0005-0000-0000-0000A4030000}"/>
    <cellStyle name="Explanatory Text 13" xfId="940" xr:uid="{00000000-0005-0000-0000-0000A5030000}"/>
    <cellStyle name="Explanatory Text 14" xfId="941" xr:uid="{00000000-0005-0000-0000-0000A6030000}"/>
    <cellStyle name="Explanatory Text 15" xfId="942" xr:uid="{00000000-0005-0000-0000-0000A7030000}"/>
    <cellStyle name="Explanatory Text 16" xfId="943" xr:uid="{00000000-0005-0000-0000-0000A8030000}"/>
    <cellStyle name="Explanatory Text 2" xfId="944" xr:uid="{00000000-0005-0000-0000-0000A9030000}"/>
    <cellStyle name="Explanatory Text 3" xfId="945" xr:uid="{00000000-0005-0000-0000-0000AA030000}"/>
    <cellStyle name="Explanatory Text 4" xfId="946" xr:uid="{00000000-0005-0000-0000-0000AB030000}"/>
    <cellStyle name="Explanatory Text 5" xfId="947" xr:uid="{00000000-0005-0000-0000-0000AC030000}"/>
    <cellStyle name="Explanatory Text 6" xfId="948" xr:uid="{00000000-0005-0000-0000-0000AD030000}"/>
    <cellStyle name="Explanatory Text 7" xfId="949" xr:uid="{00000000-0005-0000-0000-0000AE030000}"/>
    <cellStyle name="Explanatory Text 8" xfId="950" xr:uid="{00000000-0005-0000-0000-0000AF030000}"/>
    <cellStyle name="Explanatory Text 9" xfId="951" xr:uid="{00000000-0005-0000-0000-0000B0030000}"/>
    <cellStyle name="Good 10" xfId="952" xr:uid="{00000000-0005-0000-0000-0000B1030000}"/>
    <cellStyle name="Good 11" xfId="953" xr:uid="{00000000-0005-0000-0000-0000B2030000}"/>
    <cellStyle name="Good 12" xfId="954" xr:uid="{00000000-0005-0000-0000-0000B3030000}"/>
    <cellStyle name="Good 13" xfId="955" xr:uid="{00000000-0005-0000-0000-0000B4030000}"/>
    <cellStyle name="Good 14" xfId="956" xr:uid="{00000000-0005-0000-0000-0000B5030000}"/>
    <cellStyle name="Good 15" xfId="957" xr:uid="{00000000-0005-0000-0000-0000B6030000}"/>
    <cellStyle name="Good 16" xfId="958" xr:uid="{00000000-0005-0000-0000-0000B7030000}"/>
    <cellStyle name="Good 2" xfId="959" xr:uid="{00000000-0005-0000-0000-0000B8030000}"/>
    <cellStyle name="Good 3" xfId="960" xr:uid="{00000000-0005-0000-0000-0000B9030000}"/>
    <cellStyle name="Good 4" xfId="961" xr:uid="{00000000-0005-0000-0000-0000BA030000}"/>
    <cellStyle name="Good 5" xfId="962" xr:uid="{00000000-0005-0000-0000-0000BB030000}"/>
    <cellStyle name="Good 6" xfId="963" xr:uid="{00000000-0005-0000-0000-0000BC030000}"/>
    <cellStyle name="Good 7" xfId="964" xr:uid="{00000000-0005-0000-0000-0000BD030000}"/>
    <cellStyle name="Good 8" xfId="965" xr:uid="{00000000-0005-0000-0000-0000BE030000}"/>
    <cellStyle name="Good 9" xfId="966" xr:uid="{00000000-0005-0000-0000-0000BF030000}"/>
    <cellStyle name="Heading 1 10" xfId="967" xr:uid="{00000000-0005-0000-0000-0000C0030000}"/>
    <cellStyle name="Heading 1 11" xfId="968" xr:uid="{00000000-0005-0000-0000-0000C1030000}"/>
    <cellStyle name="Heading 1 12" xfId="969" xr:uid="{00000000-0005-0000-0000-0000C2030000}"/>
    <cellStyle name="Heading 1 13" xfId="970" xr:uid="{00000000-0005-0000-0000-0000C3030000}"/>
    <cellStyle name="Heading 1 14" xfId="971" xr:uid="{00000000-0005-0000-0000-0000C4030000}"/>
    <cellStyle name="Heading 1 15" xfId="972" xr:uid="{00000000-0005-0000-0000-0000C5030000}"/>
    <cellStyle name="Heading 1 16" xfId="973" xr:uid="{00000000-0005-0000-0000-0000C6030000}"/>
    <cellStyle name="Heading 1 2" xfId="974" xr:uid="{00000000-0005-0000-0000-0000C7030000}"/>
    <cellStyle name="Heading 1 3" xfId="975" xr:uid="{00000000-0005-0000-0000-0000C8030000}"/>
    <cellStyle name="Heading 1 4" xfId="976" xr:uid="{00000000-0005-0000-0000-0000C9030000}"/>
    <cellStyle name="Heading 1 5" xfId="977" xr:uid="{00000000-0005-0000-0000-0000CA030000}"/>
    <cellStyle name="Heading 1 6" xfId="978" xr:uid="{00000000-0005-0000-0000-0000CB030000}"/>
    <cellStyle name="Heading 1 7" xfId="979" xr:uid="{00000000-0005-0000-0000-0000CC030000}"/>
    <cellStyle name="Heading 1 8" xfId="980" xr:uid="{00000000-0005-0000-0000-0000CD030000}"/>
    <cellStyle name="Heading 1 9" xfId="981" xr:uid="{00000000-0005-0000-0000-0000CE030000}"/>
    <cellStyle name="Heading 2 10" xfId="982" xr:uid="{00000000-0005-0000-0000-0000CF030000}"/>
    <cellStyle name="Heading 2 11" xfId="983" xr:uid="{00000000-0005-0000-0000-0000D0030000}"/>
    <cellStyle name="Heading 2 12" xfId="984" xr:uid="{00000000-0005-0000-0000-0000D1030000}"/>
    <cellStyle name="Heading 2 13" xfId="985" xr:uid="{00000000-0005-0000-0000-0000D2030000}"/>
    <cellStyle name="Heading 2 14" xfId="986" xr:uid="{00000000-0005-0000-0000-0000D3030000}"/>
    <cellStyle name="Heading 2 15" xfId="987" xr:uid="{00000000-0005-0000-0000-0000D4030000}"/>
    <cellStyle name="Heading 2 16" xfId="988" xr:uid="{00000000-0005-0000-0000-0000D5030000}"/>
    <cellStyle name="Heading 2 2" xfId="989" xr:uid="{00000000-0005-0000-0000-0000D6030000}"/>
    <cellStyle name="Heading 2 3" xfId="990" xr:uid="{00000000-0005-0000-0000-0000D7030000}"/>
    <cellStyle name="Heading 2 4" xfId="991" xr:uid="{00000000-0005-0000-0000-0000D8030000}"/>
    <cellStyle name="Heading 2 5" xfId="992" xr:uid="{00000000-0005-0000-0000-0000D9030000}"/>
    <cellStyle name="Heading 2 6" xfId="993" xr:uid="{00000000-0005-0000-0000-0000DA030000}"/>
    <cellStyle name="Heading 2 7" xfId="994" xr:uid="{00000000-0005-0000-0000-0000DB030000}"/>
    <cellStyle name="Heading 2 8" xfId="995" xr:uid="{00000000-0005-0000-0000-0000DC030000}"/>
    <cellStyle name="Heading 2 9" xfId="996" xr:uid="{00000000-0005-0000-0000-0000DD030000}"/>
    <cellStyle name="Heading 3 10" xfId="997" xr:uid="{00000000-0005-0000-0000-0000DE030000}"/>
    <cellStyle name="Heading 3 11" xfId="998" xr:uid="{00000000-0005-0000-0000-0000DF030000}"/>
    <cellStyle name="Heading 3 12" xfId="999" xr:uid="{00000000-0005-0000-0000-0000E0030000}"/>
    <cellStyle name="Heading 3 13" xfId="1000" xr:uid="{00000000-0005-0000-0000-0000E1030000}"/>
    <cellStyle name="Heading 3 14" xfId="1001" xr:uid="{00000000-0005-0000-0000-0000E2030000}"/>
    <cellStyle name="Heading 3 15" xfId="1002" xr:uid="{00000000-0005-0000-0000-0000E3030000}"/>
    <cellStyle name="Heading 3 16" xfId="1003" xr:uid="{00000000-0005-0000-0000-0000E4030000}"/>
    <cellStyle name="Heading 3 2" xfId="1004" xr:uid="{00000000-0005-0000-0000-0000E5030000}"/>
    <cellStyle name="Heading 3 3" xfId="1005" xr:uid="{00000000-0005-0000-0000-0000E6030000}"/>
    <cellStyle name="Heading 3 4" xfId="1006" xr:uid="{00000000-0005-0000-0000-0000E7030000}"/>
    <cellStyle name="Heading 3 5" xfId="1007" xr:uid="{00000000-0005-0000-0000-0000E8030000}"/>
    <cellStyle name="Heading 3 6" xfId="1008" xr:uid="{00000000-0005-0000-0000-0000E9030000}"/>
    <cellStyle name="Heading 3 7" xfId="1009" xr:uid="{00000000-0005-0000-0000-0000EA030000}"/>
    <cellStyle name="Heading 3 8" xfId="1010" xr:uid="{00000000-0005-0000-0000-0000EB030000}"/>
    <cellStyle name="Heading 3 9" xfId="1011" xr:uid="{00000000-0005-0000-0000-0000EC030000}"/>
    <cellStyle name="Heading 4 10" xfId="1012" xr:uid="{00000000-0005-0000-0000-0000ED030000}"/>
    <cellStyle name="Heading 4 11" xfId="1013" xr:uid="{00000000-0005-0000-0000-0000EE030000}"/>
    <cellStyle name="Heading 4 12" xfId="1014" xr:uid="{00000000-0005-0000-0000-0000EF030000}"/>
    <cellStyle name="Heading 4 13" xfId="1015" xr:uid="{00000000-0005-0000-0000-0000F0030000}"/>
    <cellStyle name="Heading 4 14" xfId="1016" xr:uid="{00000000-0005-0000-0000-0000F1030000}"/>
    <cellStyle name="Heading 4 15" xfId="1017" xr:uid="{00000000-0005-0000-0000-0000F2030000}"/>
    <cellStyle name="Heading 4 16" xfId="1018" xr:uid="{00000000-0005-0000-0000-0000F3030000}"/>
    <cellStyle name="Heading 4 2" xfId="1019" xr:uid="{00000000-0005-0000-0000-0000F4030000}"/>
    <cellStyle name="Heading 4 3" xfId="1020" xr:uid="{00000000-0005-0000-0000-0000F5030000}"/>
    <cellStyle name="Heading 4 4" xfId="1021" xr:uid="{00000000-0005-0000-0000-0000F6030000}"/>
    <cellStyle name="Heading 4 5" xfId="1022" xr:uid="{00000000-0005-0000-0000-0000F7030000}"/>
    <cellStyle name="Heading 4 6" xfId="1023" xr:uid="{00000000-0005-0000-0000-0000F8030000}"/>
    <cellStyle name="Heading 4 7" xfId="1024" xr:uid="{00000000-0005-0000-0000-0000F9030000}"/>
    <cellStyle name="Heading 4 8" xfId="1025" xr:uid="{00000000-0005-0000-0000-0000FA030000}"/>
    <cellStyle name="Heading 4 9" xfId="1026" xr:uid="{00000000-0005-0000-0000-0000FB030000}"/>
    <cellStyle name="Hyperlink 2" xfId="1027" xr:uid="{00000000-0005-0000-0000-0000FC030000}"/>
    <cellStyle name="Hyperlink 3" xfId="1028" xr:uid="{00000000-0005-0000-0000-0000FD030000}"/>
    <cellStyle name="Input 10" xfId="1029" xr:uid="{00000000-0005-0000-0000-0000FE030000}"/>
    <cellStyle name="Input 11" xfId="1030" xr:uid="{00000000-0005-0000-0000-0000FF030000}"/>
    <cellStyle name="Input 12" xfId="1031" xr:uid="{00000000-0005-0000-0000-000000040000}"/>
    <cellStyle name="Input 13" xfId="1032" xr:uid="{00000000-0005-0000-0000-000001040000}"/>
    <cellStyle name="Input 14" xfId="1033" xr:uid="{00000000-0005-0000-0000-000002040000}"/>
    <cellStyle name="Input 15" xfId="1034" xr:uid="{00000000-0005-0000-0000-000003040000}"/>
    <cellStyle name="Input 16" xfId="1035" xr:uid="{00000000-0005-0000-0000-000004040000}"/>
    <cellStyle name="Input 2" xfId="1036" xr:uid="{00000000-0005-0000-0000-000005040000}"/>
    <cellStyle name="Input 3" xfId="1037" xr:uid="{00000000-0005-0000-0000-000006040000}"/>
    <cellStyle name="Input 4" xfId="1038" xr:uid="{00000000-0005-0000-0000-000007040000}"/>
    <cellStyle name="Input 5" xfId="1039" xr:uid="{00000000-0005-0000-0000-000008040000}"/>
    <cellStyle name="Input 6" xfId="1040" xr:uid="{00000000-0005-0000-0000-000009040000}"/>
    <cellStyle name="Input 7" xfId="1041" xr:uid="{00000000-0005-0000-0000-00000A040000}"/>
    <cellStyle name="Input 8" xfId="1042" xr:uid="{00000000-0005-0000-0000-00000B040000}"/>
    <cellStyle name="Input 9" xfId="1043" xr:uid="{00000000-0005-0000-0000-00000C040000}"/>
    <cellStyle name="Linked Cell 10" xfId="1044" xr:uid="{00000000-0005-0000-0000-00000D040000}"/>
    <cellStyle name="Linked Cell 11" xfId="1045" xr:uid="{00000000-0005-0000-0000-00000E040000}"/>
    <cellStyle name="Linked Cell 12" xfId="1046" xr:uid="{00000000-0005-0000-0000-00000F040000}"/>
    <cellStyle name="Linked Cell 13" xfId="1047" xr:uid="{00000000-0005-0000-0000-000010040000}"/>
    <cellStyle name="Linked Cell 14" xfId="1048" xr:uid="{00000000-0005-0000-0000-000011040000}"/>
    <cellStyle name="Linked Cell 15" xfId="1049" xr:uid="{00000000-0005-0000-0000-000012040000}"/>
    <cellStyle name="Linked Cell 16" xfId="1050" xr:uid="{00000000-0005-0000-0000-000013040000}"/>
    <cellStyle name="Linked Cell 2" xfId="1051" xr:uid="{00000000-0005-0000-0000-000014040000}"/>
    <cellStyle name="Linked Cell 3" xfId="1052" xr:uid="{00000000-0005-0000-0000-000015040000}"/>
    <cellStyle name="Linked Cell 4" xfId="1053" xr:uid="{00000000-0005-0000-0000-000016040000}"/>
    <cellStyle name="Linked Cell 5" xfId="1054" xr:uid="{00000000-0005-0000-0000-000017040000}"/>
    <cellStyle name="Linked Cell 6" xfId="1055" xr:uid="{00000000-0005-0000-0000-000018040000}"/>
    <cellStyle name="Linked Cell 7" xfId="1056" xr:uid="{00000000-0005-0000-0000-000019040000}"/>
    <cellStyle name="Linked Cell 8" xfId="1057" xr:uid="{00000000-0005-0000-0000-00001A040000}"/>
    <cellStyle name="Linked Cell 9" xfId="1058" xr:uid="{00000000-0005-0000-0000-00001B040000}"/>
    <cellStyle name="Neutral 10" xfId="1059" xr:uid="{00000000-0005-0000-0000-00001C040000}"/>
    <cellStyle name="Neutral 11" xfId="1060" xr:uid="{00000000-0005-0000-0000-00001D040000}"/>
    <cellStyle name="Neutral 12" xfId="1061" xr:uid="{00000000-0005-0000-0000-00001E040000}"/>
    <cellStyle name="Neutral 13" xfId="1062" xr:uid="{00000000-0005-0000-0000-00001F040000}"/>
    <cellStyle name="Neutral 14" xfId="1063" xr:uid="{00000000-0005-0000-0000-000020040000}"/>
    <cellStyle name="Neutral 15" xfId="1064" xr:uid="{00000000-0005-0000-0000-000021040000}"/>
    <cellStyle name="Neutral 16" xfId="1065" xr:uid="{00000000-0005-0000-0000-000022040000}"/>
    <cellStyle name="Neutral 2" xfId="1066" xr:uid="{00000000-0005-0000-0000-000023040000}"/>
    <cellStyle name="Neutral 3" xfId="1067" xr:uid="{00000000-0005-0000-0000-000024040000}"/>
    <cellStyle name="Neutral 4" xfId="1068" xr:uid="{00000000-0005-0000-0000-000025040000}"/>
    <cellStyle name="Neutral 5" xfId="1069" xr:uid="{00000000-0005-0000-0000-000026040000}"/>
    <cellStyle name="Neutral 6" xfId="1070" xr:uid="{00000000-0005-0000-0000-000027040000}"/>
    <cellStyle name="Neutral 7" xfId="1071" xr:uid="{00000000-0005-0000-0000-000028040000}"/>
    <cellStyle name="Neutral 8" xfId="1072" xr:uid="{00000000-0005-0000-0000-000029040000}"/>
    <cellStyle name="Neutral 9" xfId="1073" xr:uid="{00000000-0005-0000-0000-00002A040000}"/>
    <cellStyle name="Normal 10" xfId="1074" xr:uid="{00000000-0005-0000-0000-00002B040000}"/>
    <cellStyle name="Normal 10 2" xfId="1" xr:uid="{00000000-0005-0000-0000-00002C040000}"/>
    <cellStyle name="Normal 10 2 2" xfId="1075" xr:uid="{00000000-0005-0000-0000-00002D040000}"/>
    <cellStyle name="Normal 10 3" xfId="1076" xr:uid="{00000000-0005-0000-0000-00002E040000}"/>
    <cellStyle name="Normal 10 4" xfId="1077" xr:uid="{00000000-0005-0000-0000-00002F040000}"/>
    <cellStyle name="Normal 10 5" xfId="1078" xr:uid="{00000000-0005-0000-0000-000030040000}"/>
    <cellStyle name="Normal 10 5 2" xfId="1079" xr:uid="{00000000-0005-0000-0000-000031040000}"/>
    <cellStyle name="Normal 10 5 2 2" xfId="1080" xr:uid="{00000000-0005-0000-0000-000032040000}"/>
    <cellStyle name="Normal 10 5 3" xfId="1081" xr:uid="{00000000-0005-0000-0000-000033040000}"/>
    <cellStyle name="Normal 10 6" xfId="1082" xr:uid="{00000000-0005-0000-0000-000034040000}"/>
    <cellStyle name="Normal 10 6 2" xfId="1083" xr:uid="{00000000-0005-0000-0000-000035040000}"/>
    <cellStyle name="Normal 10 7" xfId="1084" xr:uid="{00000000-0005-0000-0000-000036040000}"/>
    <cellStyle name="Normal 11" xfId="1085" xr:uid="{00000000-0005-0000-0000-000037040000}"/>
    <cellStyle name="Normal 12" xfId="1086" xr:uid="{00000000-0005-0000-0000-000038040000}"/>
    <cellStyle name="Normal 12 2" xfId="1087" xr:uid="{00000000-0005-0000-0000-000039040000}"/>
    <cellStyle name="Normal 12 2 2" xfId="1088" xr:uid="{00000000-0005-0000-0000-00003A040000}"/>
    <cellStyle name="Normal 13" xfId="2" xr:uid="{00000000-0005-0000-0000-00003B040000}"/>
    <cellStyle name="Normal 14" xfId="1089" xr:uid="{00000000-0005-0000-0000-00003C040000}"/>
    <cellStyle name="Normal 14 2" xfId="1090" xr:uid="{00000000-0005-0000-0000-00003D040000}"/>
    <cellStyle name="Normal 15" xfId="1091" xr:uid="{00000000-0005-0000-0000-00003E040000}"/>
    <cellStyle name="Normal 16" xfId="1092" xr:uid="{00000000-0005-0000-0000-00003F040000}"/>
    <cellStyle name="Normal 17" xfId="1093" xr:uid="{00000000-0005-0000-0000-000040040000}"/>
    <cellStyle name="Normal 18" xfId="1094" xr:uid="{00000000-0005-0000-0000-000041040000}"/>
    <cellStyle name="Normal 19" xfId="1095" xr:uid="{00000000-0005-0000-0000-000042040000}"/>
    <cellStyle name="Normal 2" xfId="1096" xr:uid="{00000000-0005-0000-0000-000043040000}"/>
    <cellStyle name="Normal 2 10" xfId="4" xr:uid="{00000000-0005-0000-0000-000044040000}"/>
    <cellStyle name="Normal 2 10 2" xfId="1098" xr:uid="{00000000-0005-0000-0000-000045040000}"/>
    <cellStyle name="Normal 2 10 3" xfId="1099" xr:uid="{00000000-0005-0000-0000-000046040000}"/>
    <cellStyle name="Normal 2 10 4" xfId="1100" xr:uid="{00000000-0005-0000-0000-000047040000}"/>
    <cellStyle name="Normal 2 10 5" xfId="1097" xr:uid="{00000000-0005-0000-0000-000048040000}"/>
    <cellStyle name="Normal 2 10 5 2" xfId="1478" xr:uid="{D19464D5-5FC7-4CFE-98ED-39054120F1A8}"/>
    <cellStyle name="Normal 2 10 6" xfId="1469" xr:uid="{6EEE43F5-C548-4ACA-874D-B965B615C092}"/>
    <cellStyle name="Normal 2 10 9" xfId="3" xr:uid="{00000000-0005-0000-0000-000049040000}"/>
    <cellStyle name="Normal 2 10 9 2" xfId="1102" xr:uid="{00000000-0005-0000-0000-00004A040000}"/>
    <cellStyle name="Normal 2 10 9 3" xfId="1101" xr:uid="{00000000-0005-0000-0000-00004B040000}"/>
    <cellStyle name="Normal 2 10 9 3 2" xfId="1479" xr:uid="{6D102A7D-5315-415B-BABA-33790CDDA5CE}"/>
    <cellStyle name="Normal 2 10 9 4" xfId="1468" xr:uid="{E2BEA3F1-E493-4F48-A49B-1C6ED115F094}"/>
    <cellStyle name="Normal 2 11" xfId="1103" xr:uid="{00000000-0005-0000-0000-00004C040000}"/>
    <cellStyle name="Normal 2 11 2" xfId="1104" xr:uid="{00000000-0005-0000-0000-00004D040000}"/>
    <cellStyle name="Normal 2 12" xfId="1105" xr:uid="{00000000-0005-0000-0000-00004E040000}"/>
    <cellStyle name="Normal 2 13" xfId="1106" xr:uid="{00000000-0005-0000-0000-00004F040000}"/>
    <cellStyle name="Normal 2 13 10" xfId="1107" xr:uid="{00000000-0005-0000-0000-000050040000}"/>
    <cellStyle name="Normal 2 13 11" xfId="1108" xr:uid="{00000000-0005-0000-0000-000051040000}"/>
    <cellStyle name="Normal 2 13 12" xfId="1109" xr:uid="{00000000-0005-0000-0000-000052040000}"/>
    <cellStyle name="Normal 2 13 13" xfId="1110" xr:uid="{00000000-0005-0000-0000-000053040000}"/>
    <cellStyle name="Normal 2 13 2" xfId="1111" xr:uid="{00000000-0005-0000-0000-000054040000}"/>
    <cellStyle name="Normal 2 13 2 10" xfId="1112" xr:uid="{00000000-0005-0000-0000-000055040000}"/>
    <cellStyle name="Normal 2 13 2 11" xfId="1113" xr:uid="{00000000-0005-0000-0000-000056040000}"/>
    <cellStyle name="Normal 2 13 2 12" xfId="1114" xr:uid="{00000000-0005-0000-0000-000057040000}"/>
    <cellStyle name="Normal 2 13 2 13" xfId="1115" xr:uid="{00000000-0005-0000-0000-000058040000}"/>
    <cellStyle name="Normal 2 13 2 2" xfId="1116" xr:uid="{00000000-0005-0000-0000-000059040000}"/>
    <cellStyle name="Normal 2 13 2 3" xfId="1117" xr:uid="{00000000-0005-0000-0000-00005A040000}"/>
    <cellStyle name="Normal 2 13 2 4" xfId="1118" xr:uid="{00000000-0005-0000-0000-00005B040000}"/>
    <cellStyle name="Normal 2 13 2 5" xfId="1119" xr:uid="{00000000-0005-0000-0000-00005C040000}"/>
    <cellStyle name="Normal 2 13 2 6" xfId="1120" xr:uid="{00000000-0005-0000-0000-00005D040000}"/>
    <cellStyle name="Normal 2 13 2 7" xfId="1121" xr:uid="{00000000-0005-0000-0000-00005E040000}"/>
    <cellStyle name="Normal 2 13 2 8" xfId="1122" xr:uid="{00000000-0005-0000-0000-00005F040000}"/>
    <cellStyle name="Normal 2 13 2 9" xfId="1123" xr:uid="{00000000-0005-0000-0000-000060040000}"/>
    <cellStyle name="Normal 2 13 3" xfId="1124" xr:uid="{00000000-0005-0000-0000-000061040000}"/>
    <cellStyle name="Normal 2 13 4" xfId="1125" xr:uid="{00000000-0005-0000-0000-000062040000}"/>
    <cellStyle name="Normal 2 13 5" xfId="1126" xr:uid="{00000000-0005-0000-0000-000063040000}"/>
    <cellStyle name="Normal 2 13 6" xfId="1127" xr:uid="{00000000-0005-0000-0000-000064040000}"/>
    <cellStyle name="Normal 2 13 7" xfId="1128" xr:uid="{00000000-0005-0000-0000-000065040000}"/>
    <cellStyle name="Normal 2 13 8" xfId="1129" xr:uid="{00000000-0005-0000-0000-000066040000}"/>
    <cellStyle name="Normal 2 13 9" xfId="1130" xr:uid="{00000000-0005-0000-0000-000067040000}"/>
    <cellStyle name="Normal 2 14" xfId="1131" xr:uid="{00000000-0005-0000-0000-000068040000}"/>
    <cellStyle name="Normal 2 15" xfId="1132" xr:uid="{00000000-0005-0000-0000-000069040000}"/>
    <cellStyle name="Normal 2 16" xfId="1133" xr:uid="{00000000-0005-0000-0000-00006A040000}"/>
    <cellStyle name="Normal 2 17" xfId="1134" xr:uid="{00000000-0005-0000-0000-00006B040000}"/>
    <cellStyle name="Normal 2 18" xfId="1135" xr:uid="{00000000-0005-0000-0000-00006C040000}"/>
    <cellStyle name="Normal 2 19" xfId="1136" xr:uid="{00000000-0005-0000-0000-00006D040000}"/>
    <cellStyle name="Normal 2 2" xfId="1137" xr:uid="{00000000-0005-0000-0000-00006E040000}"/>
    <cellStyle name="Normal 2 2 10" xfId="1138" xr:uid="{00000000-0005-0000-0000-00006F040000}"/>
    <cellStyle name="Normal 2 2 10 2" xfId="1139" xr:uid="{00000000-0005-0000-0000-000070040000}"/>
    <cellStyle name="Normal 2 2 11" xfId="1140" xr:uid="{00000000-0005-0000-0000-000071040000}"/>
    <cellStyle name="Normal 2 2 11 2" xfId="1141" xr:uid="{00000000-0005-0000-0000-000072040000}"/>
    <cellStyle name="Normal 2 2 12" xfId="1142" xr:uid="{00000000-0005-0000-0000-000073040000}"/>
    <cellStyle name="Normal 2 2 12 2" xfId="1143" xr:uid="{00000000-0005-0000-0000-000074040000}"/>
    <cellStyle name="Normal 2 2 13" xfId="1144" xr:uid="{00000000-0005-0000-0000-000075040000}"/>
    <cellStyle name="Normal 2 2 13 2" xfId="1145" xr:uid="{00000000-0005-0000-0000-000076040000}"/>
    <cellStyle name="Normal 2 2 14" xfId="1146" xr:uid="{00000000-0005-0000-0000-000077040000}"/>
    <cellStyle name="Normal 2 2 14 2" xfId="1147" xr:uid="{00000000-0005-0000-0000-000078040000}"/>
    <cellStyle name="Normal 2 2 15" xfId="1148" xr:uid="{00000000-0005-0000-0000-000079040000}"/>
    <cellStyle name="Normal 2 2 15 2" xfId="1149" xr:uid="{00000000-0005-0000-0000-00007A040000}"/>
    <cellStyle name="Normal 2 2 16" xfId="1150" xr:uid="{00000000-0005-0000-0000-00007B040000}"/>
    <cellStyle name="Normal 2 2 16 2" xfId="1151" xr:uid="{00000000-0005-0000-0000-00007C040000}"/>
    <cellStyle name="Normal 2 2 17" xfId="1152" xr:uid="{00000000-0005-0000-0000-00007D040000}"/>
    <cellStyle name="Normal 2 2 17 2" xfId="1153" xr:uid="{00000000-0005-0000-0000-00007E040000}"/>
    <cellStyle name="Normal 2 2 18" xfId="1154" xr:uid="{00000000-0005-0000-0000-00007F040000}"/>
    <cellStyle name="Normal 2 2 18 2" xfId="1155" xr:uid="{00000000-0005-0000-0000-000080040000}"/>
    <cellStyle name="Normal 2 2 19" xfId="1156" xr:uid="{00000000-0005-0000-0000-000081040000}"/>
    <cellStyle name="Normal 2 2 19 2" xfId="1157" xr:uid="{00000000-0005-0000-0000-000082040000}"/>
    <cellStyle name="Normal 2 2 2" xfId="1158" xr:uid="{00000000-0005-0000-0000-000083040000}"/>
    <cellStyle name="Normal 2 2 2 2" xfId="1159" xr:uid="{00000000-0005-0000-0000-000084040000}"/>
    <cellStyle name="Normal 2 2 20" xfId="1160" xr:uid="{00000000-0005-0000-0000-000085040000}"/>
    <cellStyle name="Normal 2 2 21" xfId="1161" xr:uid="{00000000-0005-0000-0000-000086040000}"/>
    <cellStyle name="Normal 2 2 22" xfId="1162" xr:uid="{00000000-0005-0000-0000-000087040000}"/>
    <cellStyle name="Normal 2 2 3" xfId="6" xr:uid="{00000000-0005-0000-0000-000088040000}"/>
    <cellStyle name="Normal 2 2 4" xfId="1163" xr:uid="{00000000-0005-0000-0000-000089040000}"/>
    <cellStyle name="Normal 2 2 4 10" xfId="1164" xr:uid="{00000000-0005-0000-0000-00008A040000}"/>
    <cellStyle name="Normal 2 2 4 11" xfId="1165" xr:uid="{00000000-0005-0000-0000-00008B040000}"/>
    <cellStyle name="Normal 2 2 4 12" xfId="1166" xr:uid="{00000000-0005-0000-0000-00008C040000}"/>
    <cellStyle name="Normal 2 2 4 13" xfId="1167" xr:uid="{00000000-0005-0000-0000-00008D040000}"/>
    <cellStyle name="Normal 2 2 4 14" xfId="1168" xr:uid="{00000000-0005-0000-0000-00008E040000}"/>
    <cellStyle name="Normal 2 2 4 2" xfId="1169" xr:uid="{00000000-0005-0000-0000-00008F040000}"/>
    <cellStyle name="Normal 2 2 4 2 10" xfId="1170" xr:uid="{00000000-0005-0000-0000-000090040000}"/>
    <cellStyle name="Normal 2 2 4 2 10 2" xfId="1171" xr:uid="{00000000-0005-0000-0000-000091040000}"/>
    <cellStyle name="Normal 2 2 4 2 11" xfId="1172" xr:uid="{00000000-0005-0000-0000-000092040000}"/>
    <cellStyle name="Normal 2 2 4 2 11 2" xfId="1173" xr:uid="{00000000-0005-0000-0000-000093040000}"/>
    <cellStyle name="Normal 2 2 4 2 12" xfId="1174" xr:uid="{00000000-0005-0000-0000-000094040000}"/>
    <cellStyle name="Normal 2 2 4 2 12 2" xfId="1175" xr:uid="{00000000-0005-0000-0000-000095040000}"/>
    <cellStyle name="Normal 2 2 4 2 13" xfId="1176" xr:uid="{00000000-0005-0000-0000-000096040000}"/>
    <cellStyle name="Normal 2 2 4 2 13 2" xfId="1177" xr:uid="{00000000-0005-0000-0000-000097040000}"/>
    <cellStyle name="Normal 2 2 4 2 2" xfId="1178" xr:uid="{00000000-0005-0000-0000-000098040000}"/>
    <cellStyle name="Normal 2 2 4 2 2 2" xfId="1179" xr:uid="{00000000-0005-0000-0000-000099040000}"/>
    <cellStyle name="Normal 2 2 4 2 3" xfId="1180" xr:uid="{00000000-0005-0000-0000-00009A040000}"/>
    <cellStyle name="Normal 2 2 4 2 3 2" xfId="1181" xr:uid="{00000000-0005-0000-0000-00009B040000}"/>
    <cellStyle name="Normal 2 2 4 2 4" xfId="1182" xr:uid="{00000000-0005-0000-0000-00009C040000}"/>
    <cellStyle name="Normal 2 2 4 2 4 2" xfId="1183" xr:uid="{00000000-0005-0000-0000-00009D040000}"/>
    <cellStyle name="Normal 2 2 4 2 5" xfId="1184" xr:uid="{00000000-0005-0000-0000-00009E040000}"/>
    <cellStyle name="Normal 2 2 4 2 5 2" xfId="1185" xr:uid="{00000000-0005-0000-0000-00009F040000}"/>
    <cellStyle name="Normal 2 2 4 2 6" xfId="1186" xr:uid="{00000000-0005-0000-0000-0000A0040000}"/>
    <cellStyle name="Normal 2 2 4 2 6 2" xfId="1187" xr:uid="{00000000-0005-0000-0000-0000A1040000}"/>
    <cellStyle name="Normal 2 2 4 2 7" xfId="1188" xr:uid="{00000000-0005-0000-0000-0000A2040000}"/>
    <cellStyle name="Normal 2 2 4 2 7 2" xfId="1189" xr:uid="{00000000-0005-0000-0000-0000A3040000}"/>
    <cellStyle name="Normal 2 2 4 2 8" xfId="1190" xr:uid="{00000000-0005-0000-0000-0000A4040000}"/>
    <cellStyle name="Normal 2 2 4 2 8 2" xfId="1191" xr:uid="{00000000-0005-0000-0000-0000A5040000}"/>
    <cellStyle name="Normal 2 2 4 2 9" xfId="1192" xr:uid="{00000000-0005-0000-0000-0000A6040000}"/>
    <cellStyle name="Normal 2 2 4 2 9 2" xfId="1193" xr:uid="{00000000-0005-0000-0000-0000A7040000}"/>
    <cellStyle name="Normal 2 2 4 3" xfId="1194" xr:uid="{00000000-0005-0000-0000-0000A8040000}"/>
    <cellStyle name="Normal 2 2 4 4" xfId="1195" xr:uid="{00000000-0005-0000-0000-0000A9040000}"/>
    <cellStyle name="Normal 2 2 4 5" xfId="1196" xr:uid="{00000000-0005-0000-0000-0000AA040000}"/>
    <cellStyle name="Normal 2 2 4 6" xfId="1197" xr:uid="{00000000-0005-0000-0000-0000AB040000}"/>
    <cellStyle name="Normal 2 2 4 7" xfId="1198" xr:uid="{00000000-0005-0000-0000-0000AC040000}"/>
    <cellStyle name="Normal 2 2 4 8" xfId="1199" xr:uid="{00000000-0005-0000-0000-0000AD040000}"/>
    <cellStyle name="Normal 2 2 4 9" xfId="1200" xr:uid="{00000000-0005-0000-0000-0000AE040000}"/>
    <cellStyle name="Normal 2 2 5" xfId="1201" xr:uid="{00000000-0005-0000-0000-0000AF040000}"/>
    <cellStyle name="Normal 2 2 5 2" xfId="1202" xr:uid="{00000000-0005-0000-0000-0000B0040000}"/>
    <cellStyle name="Normal 2 2 6" xfId="1203" xr:uid="{00000000-0005-0000-0000-0000B1040000}"/>
    <cellStyle name="Normal 2 2 6 2" xfId="1204" xr:uid="{00000000-0005-0000-0000-0000B2040000}"/>
    <cellStyle name="Normal 2 2 7" xfId="1205" xr:uid="{00000000-0005-0000-0000-0000B3040000}"/>
    <cellStyle name="Normal 2 2 7 2" xfId="1206" xr:uid="{00000000-0005-0000-0000-0000B4040000}"/>
    <cellStyle name="Normal 2 2 8" xfId="1207" xr:uid="{00000000-0005-0000-0000-0000B5040000}"/>
    <cellStyle name="Normal 2 2 8 2" xfId="1208" xr:uid="{00000000-0005-0000-0000-0000B6040000}"/>
    <cellStyle name="Normal 2 2 8 2 2" xfId="1209" xr:uid="{00000000-0005-0000-0000-0000B7040000}"/>
    <cellStyle name="Normal 2 2 8 3" xfId="1210" xr:uid="{00000000-0005-0000-0000-0000B8040000}"/>
    <cellStyle name="Normal 2 2 9" xfId="1211" xr:uid="{00000000-0005-0000-0000-0000B9040000}"/>
    <cellStyle name="Normal 2 2 9 2" xfId="1212" xr:uid="{00000000-0005-0000-0000-0000BA040000}"/>
    <cellStyle name="Normal 2 20" xfId="1213" xr:uid="{00000000-0005-0000-0000-0000BB040000}"/>
    <cellStyle name="Normal 2 21" xfId="1214" xr:uid="{00000000-0005-0000-0000-0000BC040000}"/>
    <cellStyle name="Normal 2 22" xfId="1215" xr:uid="{00000000-0005-0000-0000-0000BD040000}"/>
    <cellStyle name="Normal 2 23" xfId="1216" xr:uid="{00000000-0005-0000-0000-0000BE040000}"/>
    <cellStyle name="Normal 2 24" xfId="1217" xr:uid="{00000000-0005-0000-0000-0000BF040000}"/>
    <cellStyle name="Normal 2 25" xfId="1218" xr:uid="{00000000-0005-0000-0000-0000C0040000}"/>
    <cellStyle name="Normal 2 26" xfId="1219" xr:uid="{00000000-0005-0000-0000-0000C1040000}"/>
    <cellStyle name="Normal 2 27" xfId="1220" xr:uid="{00000000-0005-0000-0000-0000C2040000}"/>
    <cellStyle name="Normal 2 28" xfId="1221" xr:uid="{00000000-0005-0000-0000-0000C3040000}"/>
    <cellStyle name="Normal 2 3" xfId="1222" xr:uid="{00000000-0005-0000-0000-0000C4040000}"/>
    <cellStyle name="Normal 2 3 2" xfId="1223" xr:uid="{00000000-0005-0000-0000-0000C5040000}"/>
    <cellStyle name="Normal 2 4" xfId="10" xr:uid="{00000000-0005-0000-0000-0000C6040000}"/>
    <cellStyle name="Normal 2 5" xfId="1224" xr:uid="{00000000-0005-0000-0000-0000C7040000}"/>
    <cellStyle name="Normal 2 6" xfId="1225" xr:uid="{00000000-0005-0000-0000-0000C8040000}"/>
    <cellStyle name="Normal 2 7" xfId="1226" xr:uid="{00000000-0005-0000-0000-0000C9040000}"/>
    <cellStyle name="Normal 2 7 2" xfId="1227" xr:uid="{00000000-0005-0000-0000-0000CA040000}"/>
    <cellStyle name="Normal 2 8" xfId="1228" xr:uid="{00000000-0005-0000-0000-0000CB040000}"/>
    <cellStyle name="Normal 2 8 2" xfId="1229" xr:uid="{00000000-0005-0000-0000-0000CC040000}"/>
    <cellStyle name="Normal 2 9" xfId="1230" xr:uid="{00000000-0005-0000-0000-0000CD040000}"/>
    <cellStyle name="Normal 2 9 2" xfId="1231" xr:uid="{00000000-0005-0000-0000-0000CE040000}"/>
    <cellStyle name="Normal 2_2210_2220_2230_2240_2250_2260" xfId="1232" xr:uid="{00000000-0005-0000-0000-0000CF040000}"/>
    <cellStyle name="Normal 20" xfId="1233" xr:uid="{00000000-0005-0000-0000-0000D0040000}"/>
    <cellStyle name="Normal 21" xfId="1234" xr:uid="{00000000-0005-0000-0000-0000D1040000}"/>
    <cellStyle name="Normal 22" xfId="1235" xr:uid="{00000000-0005-0000-0000-0000D2040000}"/>
    <cellStyle name="Normal 23" xfId="1236" xr:uid="{00000000-0005-0000-0000-0000D3040000}"/>
    <cellStyle name="Normal 24" xfId="1237" xr:uid="{00000000-0005-0000-0000-0000D4040000}"/>
    <cellStyle name="Normal 25" xfId="1238" xr:uid="{00000000-0005-0000-0000-0000D5040000}"/>
    <cellStyle name="Normal 26" xfId="8" xr:uid="{00000000-0005-0000-0000-0000D6040000}"/>
    <cellStyle name="Normal 26 2" xfId="1240" xr:uid="{00000000-0005-0000-0000-0000D7040000}"/>
    <cellStyle name="Normal 26 2 2" xfId="1481" xr:uid="{13617F06-8CA7-4039-9254-857DD6FC7CC7}"/>
    <cellStyle name="Normal 26 3" xfId="1241" xr:uid="{00000000-0005-0000-0000-0000D8040000}"/>
    <cellStyle name="Normal 26 4" xfId="1239" xr:uid="{00000000-0005-0000-0000-0000D9040000}"/>
    <cellStyle name="Normal 26 4 2" xfId="1480" xr:uid="{E3CE5B97-E5DB-4293-8496-47C40ED410FE}"/>
    <cellStyle name="Normal 26 5" xfId="1471" xr:uid="{3C5430F8-07D4-4321-B583-33A130FAD29B}"/>
    <cellStyle name="Normal 27" xfId="11" xr:uid="{00000000-0005-0000-0000-0000DA040000}"/>
    <cellStyle name="Normal 28" xfId="1242" xr:uid="{00000000-0005-0000-0000-0000DB040000}"/>
    <cellStyle name="Normal 29" xfId="1243" xr:uid="{00000000-0005-0000-0000-0000DC040000}"/>
    <cellStyle name="Normal 29 2" xfId="1244" xr:uid="{00000000-0005-0000-0000-0000DD040000}"/>
    <cellStyle name="Normal 3" xfId="1245" xr:uid="{00000000-0005-0000-0000-0000DE040000}"/>
    <cellStyle name="Normal 3 10" xfId="1246" xr:uid="{00000000-0005-0000-0000-0000DF040000}"/>
    <cellStyle name="Normal 3 10 2" xfId="1247" xr:uid="{00000000-0005-0000-0000-0000E0040000}"/>
    <cellStyle name="Normal 3 11" xfId="1248" xr:uid="{00000000-0005-0000-0000-0000E1040000}"/>
    <cellStyle name="Normal 3 12" xfId="1249" xr:uid="{00000000-0005-0000-0000-0000E2040000}"/>
    <cellStyle name="Normal 3 13" xfId="1250" xr:uid="{00000000-0005-0000-0000-0000E3040000}"/>
    <cellStyle name="Normal 3 14" xfId="1251" xr:uid="{00000000-0005-0000-0000-0000E4040000}"/>
    <cellStyle name="Normal 3 15" xfId="1252" xr:uid="{00000000-0005-0000-0000-0000E5040000}"/>
    <cellStyle name="Normal 3 16" xfId="1253" xr:uid="{00000000-0005-0000-0000-0000E6040000}"/>
    <cellStyle name="Normal 3 17" xfId="1254" xr:uid="{00000000-0005-0000-0000-0000E7040000}"/>
    <cellStyle name="Normal 3 18" xfId="1255" xr:uid="{00000000-0005-0000-0000-0000E8040000}"/>
    <cellStyle name="Normal 3 19" xfId="1256" xr:uid="{00000000-0005-0000-0000-0000E9040000}"/>
    <cellStyle name="Normal 3 2" xfId="1257" xr:uid="{00000000-0005-0000-0000-0000EA040000}"/>
    <cellStyle name="Normal 3 2 2" xfId="1258" xr:uid="{00000000-0005-0000-0000-0000EB040000}"/>
    <cellStyle name="Normal 3 20" xfId="1259" xr:uid="{00000000-0005-0000-0000-0000EC040000}"/>
    <cellStyle name="Normal 3 21" xfId="1260" xr:uid="{00000000-0005-0000-0000-0000ED040000}"/>
    <cellStyle name="Normal 3 22" xfId="1261" xr:uid="{00000000-0005-0000-0000-0000EE040000}"/>
    <cellStyle name="Normal 3 23" xfId="1262" xr:uid="{00000000-0005-0000-0000-0000EF040000}"/>
    <cellStyle name="Normal 3 24" xfId="1462" xr:uid="{00000000-0005-0000-0000-0000F0040000}"/>
    <cellStyle name="Normal 3 24 2" xfId="1486" xr:uid="{F1B2EE5B-67FF-431F-828A-CA56C7C5D6FA}"/>
    <cellStyle name="Normal 3 3" xfId="1263" xr:uid="{00000000-0005-0000-0000-0000F1040000}"/>
    <cellStyle name="Normal 3 3 2" xfId="1264" xr:uid="{00000000-0005-0000-0000-0000F2040000}"/>
    <cellStyle name="Normal 3 4" xfId="1265" xr:uid="{00000000-0005-0000-0000-0000F3040000}"/>
    <cellStyle name="Normal 3 4 2" xfId="1266" xr:uid="{00000000-0005-0000-0000-0000F4040000}"/>
    <cellStyle name="Normal 3 5" xfId="1267" xr:uid="{00000000-0005-0000-0000-0000F5040000}"/>
    <cellStyle name="Normal 3 6" xfId="1268" xr:uid="{00000000-0005-0000-0000-0000F6040000}"/>
    <cellStyle name="Normal 3 6 2" xfId="1269" xr:uid="{00000000-0005-0000-0000-0000F7040000}"/>
    <cellStyle name="Normal 3 7" xfId="1270" xr:uid="{00000000-0005-0000-0000-0000F8040000}"/>
    <cellStyle name="Normal 3 7 2" xfId="1271" xr:uid="{00000000-0005-0000-0000-0000F9040000}"/>
    <cellStyle name="Normal 3 8" xfId="1272" xr:uid="{00000000-0005-0000-0000-0000FA040000}"/>
    <cellStyle name="Normal 3 8 2" xfId="1273" xr:uid="{00000000-0005-0000-0000-0000FB040000}"/>
    <cellStyle name="Normal 3 9" xfId="1274" xr:uid="{00000000-0005-0000-0000-0000FC040000}"/>
    <cellStyle name="Normal 3 9 2" xfId="1275" xr:uid="{00000000-0005-0000-0000-0000FD040000}"/>
    <cellStyle name="Normal 3_2210_2220_2230_2240_2250_2260" xfId="1276" xr:uid="{00000000-0005-0000-0000-0000FE040000}"/>
    <cellStyle name="Normal 30" xfId="1277" xr:uid="{00000000-0005-0000-0000-0000FF040000}"/>
    <cellStyle name="Normal 30 2" xfId="1278" xr:uid="{00000000-0005-0000-0000-000000050000}"/>
    <cellStyle name="Normal 31" xfId="1279" xr:uid="{00000000-0005-0000-0000-000001050000}"/>
    <cellStyle name="Normal 31 2" xfId="1280" xr:uid="{00000000-0005-0000-0000-000002050000}"/>
    <cellStyle name="Normal 32" xfId="1281" xr:uid="{00000000-0005-0000-0000-000003050000}"/>
    <cellStyle name="Normal 32 2" xfId="1282" xr:uid="{00000000-0005-0000-0000-000004050000}"/>
    <cellStyle name="Normal 32 2 2" xfId="1283" xr:uid="{00000000-0005-0000-0000-000005050000}"/>
    <cellStyle name="Normal 32 3" xfId="1284" xr:uid="{00000000-0005-0000-0000-000006050000}"/>
    <cellStyle name="Normal 32 3 2" xfId="1285" xr:uid="{00000000-0005-0000-0000-000007050000}"/>
    <cellStyle name="Normal 32 4" xfId="1286" xr:uid="{00000000-0005-0000-0000-000008050000}"/>
    <cellStyle name="Normal 32 4 2" xfId="1287" xr:uid="{00000000-0005-0000-0000-000009050000}"/>
    <cellStyle name="Normal 32 5" xfId="1288" xr:uid="{00000000-0005-0000-0000-00000A050000}"/>
    <cellStyle name="Normal 33" xfId="1289" xr:uid="{00000000-0005-0000-0000-00000B050000}"/>
    <cellStyle name="Normal 33 2" xfId="1290" xr:uid="{00000000-0005-0000-0000-00000C050000}"/>
    <cellStyle name="Normal 34" xfId="1291" xr:uid="{00000000-0005-0000-0000-00000D050000}"/>
    <cellStyle name="Normal 34 2" xfId="1292" xr:uid="{00000000-0005-0000-0000-00000E050000}"/>
    <cellStyle name="Normal 35" xfId="1293" xr:uid="{00000000-0005-0000-0000-00000F050000}"/>
    <cellStyle name="Normal 35 2" xfId="1294" xr:uid="{00000000-0005-0000-0000-000010050000}"/>
    <cellStyle name="Normal 36" xfId="1295" xr:uid="{00000000-0005-0000-0000-000011050000}"/>
    <cellStyle name="Normal 36 2" xfId="1296" xr:uid="{00000000-0005-0000-0000-000012050000}"/>
    <cellStyle name="Normal 37" xfId="1297" xr:uid="{00000000-0005-0000-0000-000013050000}"/>
    <cellStyle name="Normal 37 2" xfId="1298" xr:uid="{00000000-0005-0000-0000-000014050000}"/>
    <cellStyle name="Normal 38" xfId="1299" xr:uid="{00000000-0005-0000-0000-000015050000}"/>
    <cellStyle name="Normal 39" xfId="1461" xr:uid="{00000000-0005-0000-0000-000016050000}"/>
    <cellStyle name="Normal 39 2" xfId="1485" xr:uid="{955A8E90-B08A-43E6-B255-40ECB235976A}"/>
    <cellStyle name="Normal 4" xfId="1300" xr:uid="{00000000-0005-0000-0000-000017050000}"/>
    <cellStyle name="Normal 4 10" xfId="1301" xr:uid="{00000000-0005-0000-0000-000018050000}"/>
    <cellStyle name="Normal 4 11" xfId="1302" xr:uid="{00000000-0005-0000-0000-000019050000}"/>
    <cellStyle name="Normal 4 12" xfId="1303" xr:uid="{00000000-0005-0000-0000-00001A050000}"/>
    <cellStyle name="Normal 4 13" xfId="1304" xr:uid="{00000000-0005-0000-0000-00001B050000}"/>
    <cellStyle name="Normal 4 14" xfId="1305" xr:uid="{00000000-0005-0000-0000-00001C050000}"/>
    <cellStyle name="Normal 4 15" xfId="1306" xr:uid="{00000000-0005-0000-0000-00001D050000}"/>
    <cellStyle name="Normal 4 16" xfId="1307" xr:uid="{00000000-0005-0000-0000-00001E050000}"/>
    <cellStyle name="Normal 4 17" xfId="1308" xr:uid="{00000000-0005-0000-0000-00001F050000}"/>
    <cellStyle name="Normal 4 2" xfId="1309" xr:uid="{00000000-0005-0000-0000-000020050000}"/>
    <cellStyle name="Normal 4 2 2" xfId="1310" xr:uid="{00000000-0005-0000-0000-000021050000}"/>
    <cellStyle name="Normal 4 2 2 2" xfId="1311" xr:uid="{00000000-0005-0000-0000-000022050000}"/>
    <cellStyle name="Normal 4 2 3" xfId="1312" xr:uid="{00000000-0005-0000-0000-000023050000}"/>
    <cellStyle name="Normal 4 3" xfId="1313" xr:uid="{00000000-0005-0000-0000-000024050000}"/>
    <cellStyle name="Normal 4 3 2" xfId="1314" xr:uid="{00000000-0005-0000-0000-000025050000}"/>
    <cellStyle name="Normal 4 4" xfId="1315" xr:uid="{00000000-0005-0000-0000-000026050000}"/>
    <cellStyle name="Normal 4 4 2" xfId="1316" xr:uid="{00000000-0005-0000-0000-000027050000}"/>
    <cellStyle name="Normal 4 5" xfId="1317" xr:uid="{00000000-0005-0000-0000-000028050000}"/>
    <cellStyle name="Normal 4 6" xfId="1318" xr:uid="{00000000-0005-0000-0000-000029050000}"/>
    <cellStyle name="Normal 4 7" xfId="1319" xr:uid="{00000000-0005-0000-0000-00002A050000}"/>
    <cellStyle name="Normal 4 8" xfId="1320" xr:uid="{00000000-0005-0000-0000-00002B050000}"/>
    <cellStyle name="Normal 4 9" xfId="1321" xr:uid="{00000000-0005-0000-0000-00002C050000}"/>
    <cellStyle name="Normal 4_2210_2220_2230_2240_2250_2260" xfId="1322" xr:uid="{00000000-0005-0000-0000-00002D050000}"/>
    <cellStyle name="Normal 40" xfId="1466" xr:uid="{00000000-0005-0000-0000-00002E050000}"/>
    <cellStyle name="Normal 45" xfId="1323" xr:uid="{00000000-0005-0000-0000-00002F050000}"/>
    <cellStyle name="Normal 45 2" xfId="1324" xr:uid="{00000000-0005-0000-0000-000030050000}"/>
    <cellStyle name="Normal 45 2 2" xfId="1325" xr:uid="{00000000-0005-0000-0000-000031050000}"/>
    <cellStyle name="Normal 45 3" xfId="1326" xr:uid="{00000000-0005-0000-0000-000032050000}"/>
    <cellStyle name="Normal 45 3 2" xfId="1327" xr:uid="{00000000-0005-0000-0000-000033050000}"/>
    <cellStyle name="Normal 45 4" xfId="1328" xr:uid="{00000000-0005-0000-0000-000034050000}"/>
    <cellStyle name="Normal 45 4 2" xfId="1329" xr:uid="{00000000-0005-0000-0000-000035050000}"/>
    <cellStyle name="Normal 45 5" xfId="1330" xr:uid="{00000000-0005-0000-0000-000036050000}"/>
    <cellStyle name="Normal 5" xfId="1331" xr:uid="{00000000-0005-0000-0000-000037050000}"/>
    <cellStyle name="Normal 5 2" xfId="1332" xr:uid="{00000000-0005-0000-0000-000038050000}"/>
    <cellStyle name="Normal 5 3" xfId="1333" xr:uid="{00000000-0005-0000-0000-000039050000}"/>
    <cellStyle name="Normal 50" xfId="1334" xr:uid="{00000000-0005-0000-0000-00003A050000}"/>
    <cellStyle name="Normal 50 2" xfId="1335" xr:uid="{00000000-0005-0000-0000-00003B050000}"/>
    <cellStyle name="Normal 50 2 2" xfId="1336" xr:uid="{00000000-0005-0000-0000-00003C050000}"/>
    <cellStyle name="Normal 50 3" xfId="1337" xr:uid="{00000000-0005-0000-0000-00003D050000}"/>
    <cellStyle name="Normal 50 3 2" xfId="1338" xr:uid="{00000000-0005-0000-0000-00003E050000}"/>
    <cellStyle name="Normal 50 4" xfId="1339" xr:uid="{00000000-0005-0000-0000-00003F050000}"/>
    <cellStyle name="Normal 51" xfId="1340" xr:uid="{00000000-0005-0000-0000-000040050000}"/>
    <cellStyle name="Normal 51 2" xfId="1341" xr:uid="{00000000-0005-0000-0000-000041050000}"/>
    <cellStyle name="Normal 51 2 2" xfId="1342" xr:uid="{00000000-0005-0000-0000-000042050000}"/>
    <cellStyle name="Normal 51 3" xfId="1343" xr:uid="{00000000-0005-0000-0000-000043050000}"/>
    <cellStyle name="Normal 51 3 2" xfId="1344" xr:uid="{00000000-0005-0000-0000-000044050000}"/>
    <cellStyle name="Normal 51 4" xfId="1345" xr:uid="{00000000-0005-0000-0000-000045050000}"/>
    <cellStyle name="Normal 6" xfId="1346" xr:uid="{00000000-0005-0000-0000-000046050000}"/>
    <cellStyle name="Normal 6 2" xfId="1347" xr:uid="{00000000-0005-0000-0000-000047050000}"/>
    <cellStyle name="Normal 6 2 2" xfId="1348" xr:uid="{00000000-0005-0000-0000-000048050000}"/>
    <cellStyle name="Normal 6 3" xfId="1349" xr:uid="{00000000-0005-0000-0000-000049050000}"/>
    <cellStyle name="Normal 6 4" xfId="1350" xr:uid="{00000000-0005-0000-0000-00004A050000}"/>
    <cellStyle name="Normal 6 4 2" xfId="7" xr:uid="{00000000-0005-0000-0000-00004B050000}"/>
    <cellStyle name="Normal 6 4 2 2" xfId="1352" xr:uid="{00000000-0005-0000-0000-00004C050000}"/>
    <cellStyle name="Normal 6 4 2 2 2" xfId="1353" xr:uid="{00000000-0005-0000-0000-00004D050000}"/>
    <cellStyle name="Normal 6 4 2 2 3" xfId="1483" xr:uid="{5263CB58-47A6-4DAA-BE23-ACE91BC00658}"/>
    <cellStyle name="Normal 6 4 2 3" xfId="1354" xr:uid="{00000000-0005-0000-0000-00004E050000}"/>
    <cellStyle name="Normal 6 4 2 4" xfId="1355" xr:uid="{00000000-0005-0000-0000-00004F050000}"/>
    <cellStyle name="Normal 6 4 2 5" xfId="1351" xr:uid="{00000000-0005-0000-0000-000050050000}"/>
    <cellStyle name="Normal 6 4 2 5 2" xfId="1482" xr:uid="{14B409CA-21CD-4FE8-B2EB-9CABEFE0F948}"/>
    <cellStyle name="Normal 6 4 2 6" xfId="1470" xr:uid="{1E1FB3A7-0723-4D2D-99E3-28D01C53B2E5}"/>
    <cellStyle name="Normal 6 4 3" xfId="1356" xr:uid="{00000000-0005-0000-0000-000051050000}"/>
    <cellStyle name="Normal 60 2" xfId="1357" xr:uid="{00000000-0005-0000-0000-000052050000}"/>
    <cellStyle name="Normal 60 2 2" xfId="1358" xr:uid="{00000000-0005-0000-0000-000053050000}"/>
    <cellStyle name="Normal 7" xfId="1359" xr:uid="{00000000-0005-0000-0000-000054050000}"/>
    <cellStyle name="Normal 70" xfId="1360" xr:uid="{00000000-0005-0000-0000-000055050000}"/>
    <cellStyle name="Normal 8" xfId="1361" xr:uid="{00000000-0005-0000-0000-000056050000}"/>
    <cellStyle name="Normal 8 2" xfId="5" xr:uid="{00000000-0005-0000-0000-000057050000}"/>
    <cellStyle name="Normal 9" xfId="1362" xr:uid="{00000000-0005-0000-0000-000058050000}"/>
    <cellStyle name="Normal_Sheet3" xfId="1467" xr:uid="{00000000-0005-0000-0000-000059050000}"/>
    <cellStyle name="Note 10" xfId="1363" xr:uid="{00000000-0005-0000-0000-00005A050000}"/>
    <cellStyle name="Note 11" xfId="1364" xr:uid="{00000000-0005-0000-0000-00005B050000}"/>
    <cellStyle name="Note 12" xfId="1365" xr:uid="{00000000-0005-0000-0000-00005C050000}"/>
    <cellStyle name="Note 13" xfId="1366" xr:uid="{00000000-0005-0000-0000-00005D050000}"/>
    <cellStyle name="Note 14" xfId="1367" xr:uid="{00000000-0005-0000-0000-00005E050000}"/>
    <cellStyle name="Note 15" xfId="1368" xr:uid="{00000000-0005-0000-0000-00005F050000}"/>
    <cellStyle name="Note 16" xfId="1369" xr:uid="{00000000-0005-0000-0000-000060050000}"/>
    <cellStyle name="Note 2" xfId="1370" xr:uid="{00000000-0005-0000-0000-000061050000}"/>
    <cellStyle name="Note 3" xfId="1371" xr:uid="{00000000-0005-0000-0000-000062050000}"/>
    <cellStyle name="Note 4" xfId="1372" xr:uid="{00000000-0005-0000-0000-000063050000}"/>
    <cellStyle name="Note 5" xfId="1373" xr:uid="{00000000-0005-0000-0000-000064050000}"/>
    <cellStyle name="Note 6" xfId="1374" xr:uid="{00000000-0005-0000-0000-000065050000}"/>
    <cellStyle name="Note 7" xfId="1375" xr:uid="{00000000-0005-0000-0000-000066050000}"/>
    <cellStyle name="Note 8" xfId="1376" xr:uid="{00000000-0005-0000-0000-000067050000}"/>
    <cellStyle name="Note 9" xfId="1377" xr:uid="{00000000-0005-0000-0000-000068050000}"/>
    <cellStyle name="Output 10" xfId="1378" xr:uid="{00000000-0005-0000-0000-000069050000}"/>
    <cellStyle name="Output 11" xfId="1379" xr:uid="{00000000-0005-0000-0000-00006A050000}"/>
    <cellStyle name="Output 12" xfId="1380" xr:uid="{00000000-0005-0000-0000-00006B050000}"/>
    <cellStyle name="Output 13" xfId="1381" xr:uid="{00000000-0005-0000-0000-00006C050000}"/>
    <cellStyle name="Output 14" xfId="1382" xr:uid="{00000000-0005-0000-0000-00006D050000}"/>
    <cellStyle name="Output 15" xfId="1383" xr:uid="{00000000-0005-0000-0000-00006E050000}"/>
    <cellStyle name="Output 16" xfId="1384" xr:uid="{00000000-0005-0000-0000-00006F050000}"/>
    <cellStyle name="Output 2" xfId="1385" xr:uid="{00000000-0005-0000-0000-000070050000}"/>
    <cellStyle name="Output 3" xfId="1386" xr:uid="{00000000-0005-0000-0000-000071050000}"/>
    <cellStyle name="Output 4" xfId="1387" xr:uid="{00000000-0005-0000-0000-000072050000}"/>
    <cellStyle name="Output 5" xfId="1388" xr:uid="{00000000-0005-0000-0000-000073050000}"/>
    <cellStyle name="Output 6" xfId="1389" xr:uid="{00000000-0005-0000-0000-000074050000}"/>
    <cellStyle name="Output 7" xfId="1390" xr:uid="{00000000-0005-0000-0000-000075050000}"/>
    <cellStyle name="Output 8" xfId="1391" xr:uid="{00000000-0005-0000-0000-000076050000}"/>
    <cellStyle name="Output 9" xfId="1392" xr:uid="{00000000-0005-0000-0000-000077050000}"/>
    <cellStyle name="Parasts" xfId="0" builtinId="0"/>
    <cellStyle name="Percent 2" xfId="1393" xr:uid="{00000000-0005-0000-0000-000079050000}"/>
    <cellStyle name="Percent 2 2" xfId="1394" xr:uid="{00000000-0005-0000-0000-00007A050000}"/>
    <cellStyle name="Percent 3" xfId="1395" xr:uid="{00000000-0005-0000-0000-00007B050000}"/>
    <cellStyle name="Percent 4" xfId="1396" xr:uid="{00000000-0005-0000-0000-00007C050000}"/>
    <cellStyle name="Percent 5" xfId="1397" xr:uid="{00000000-0005-0000-0000-00007D050000}"/>
    <cellStyle name="Percent 6" xfId="1398" xr:uid="{00000000-0005-0000-0000-00007E050000}"/>
    <cellStyle name="Percent 6 2" xfId="1399" xr:uid="{00000000-0005-0000-0000-00007F050000}"/>
    <cellStyle name="Procenti" xfId="12" builtinId="5"/>
    <cellStyle name="Title 10" xfId="1400" xr:uid="{00000000-0005-0000-0000-000081050000}"/>
    <cellStyle name="Title 11" xfId="1401" xr:uid="{00000000-0005-0000-0000-000082050000}"/>
    <cellStyle name="Title 12" xfId="1402" xr:uid="{00000000-0005-0000-0000-000083050000}"/>
    <cellStyle name="Title 13" xfId="1403" xr:uid="{00000000-0005-0000-0000-000084050000}"/>
    <cellStyle name="Title 14" xfId="1404" xr:uid="{00000000-0005-0000-0000-000085050000}"/>
    <cellStyle name="Title 15" xfId="1405" xr:uid="{00000000-0005-0000-0000-000086050000}"/>
    <cellStyle name="Title 16" xfId="1406" xr:uid="{00000000-0005-0000-0000-000087050000}"/>
    <cellStyle name="Title 2" xfId="1407" xr:uid="{00000000-0005-0000-0000-000088050000}"/>
    <cellStyle name="Title 3" xfId="1408" xr:uid="{00000000-0005-0000-0000-000089050000}"/>
    <cellStyle name="Title 4" xfId="1409" xr:uid="{00000000-0005-0000-0000-00008A050000}"/>
    <cellStyle name="Title 5" xfId="1410" xr:uid="{00000000-0005-0000-0000-00008B050000}"/>
    <cellStyle name="Title 6" xfId="1411" xr:uid="{00000000-0005-0000-0000-00008C050000}"/>
    <cellStyle name="Title 7" xfId="1412" xr:uid="{00000000-0005-0000-0000-00008D050000}"/>
    <cellStyle name="Title 8" xfId="1413" xr:uid="{00000000-0005-0000-0000-00008E050000}"/>
    <cellStyle name="Title 9" xfId="1414" xr:uid="{00000000-0005-0000-0000-00008F050000}"/>
    <cellStyle name="Total 10" xfId="1415" xr:uid="{00000000-0005-0000-0000-000090050000}"/>
    <cellStyle name="Total 10 2" xfId="1416" xr:uid="{00000000-0005-0000-0000-000091050000}"/>
    <cellStyle name="Total 11" xfId="1417" xr:uid="{00000000-0005-0000-0000-000092050000}"/>
    <cellStyle name="Total 11 2" xfId="1418" xr:uid="{00000000-0005-0000-0000-000093050000}"/>
    <cellStyle name="Total 12" xfId="1419" xr:uid="{00000000-0005-0000-0000-000094050000}"/>
    <cellStyle name="Total 12 2" xfId="1420" xr:uid="{00000000-0005-0000-0000-000095050000}"/>
    <cellStyle name="Total 13" xfId="1421" xr:uid="{00000000-0005-0000-0000-000096050000}"/>
    <cellStyle name="Total 13 2" xfId="1422" xr:uid="{00000000-0005-0000-0000-000097050000}"/>
    <cellStyle name="Total 14" xfId="1423" xr:uid="{00000000-0005-0000-0000-000098050000}"/>
    <cellStyle name="Total 14 2" xfId="1424" xr:uid="{00000000-0005-0000-0000-000099050000}"/>
    <cellStyle name="Total 15" xfId="1425" xr:uid="{00000000-0005-0000-0000-00009A050000}"/>
    <cellStyle name="Total 15 2" xfId="1426" xr:uid="{00000000-0005-0000-0000-00009B050000}"/>
    <cellStyle name="Total 16" xfId="1427" xr:uid="{00000000-0005-0000-0000-00009C050000}"/>
    <cellStyle name="Total 2" xfId="1428" xr:uid="{00000000-0005-0000-0000-00009D050000}"/>
    <cellStyle name="Total 2 2" xfId="1429" xr:uid="{00000000-0005-0000-0000-00009E050000}"/>
    <cellStyle name="Total 3" xfId="1430" xr:uid="{00000000-0005-0000-0000-00009F050000}"/>
    <cellStyle name="Total 3 2" xfId="1431" xr:uid="{00000000-0005-0000-0000-0000A0050000}"/>
    <cellStyle name="Total 4" xfId="1432" xr:uid="{00000000-0005-0000-0000-0000A1050000}"/>
    <cellStyle name="Total 4 2" xfId="1433" xr:uid="{00000000-0005-0000-0000-0000A2050000}"/>
    <cellStyle name="Total 5" xfId="1434" xr:uid="{00000000-0005-0000-0000-0000A3050000}"/>
    <cellStyle name="Total 5 2" xfId="1435" xr:uid="{00000000-0005-0000-0000-0000A4050000}"/>
    <cellStyle name="Total 6" xfId="1436" xr:uid="{00000000-0005-0000-0000-0000A5050000}"/>
    <cellStyle name="Total 6 2" xfId="1437" xr:uid="{00000000-0005-0000-0000-0000A6050000}"/>
    <cellStyle name="Total 7" xfId="1438" xr:uid="{00000000-0005-0000-0000-0000A7050000}"/>
    <cellStyle name="Total 7 2" xfId="1439" xr:uid="{00000000-0005-0000-0000-0000A8050000}"/>
    <cellStyle name="Total 8" xfId="1440" xr:uid="{00000000-0005-0000-0000-0000A9050000}"/>
    <cellStyle name="Total 8 2" xfId="1441" xr:uid="{00000000-0005-0000-0000-0000AA050000}"/>
    <cellStyle name="Total 9" xfId="1442" xr:uid="{00000000-0005-0000-0000-0000AB050000}"/>
    <cellStyle name="Total 9 2" xfId="1443" xr:uid="{00000000-0005-0000-0000-0000AC050000}"/>
    <cellStyle name="Warning Text 10" xfId="1444" xr:uid="{00000000-0005-0000-0000-0000AD050000}"/>
    <cellStyle name="Warning Text 11" xfId="1445" xr:uid="{00000000-0005-0000-0000-0000AE050000}"/>
    <cellStyle name="Warning Text 12" xfId="1446" xr:uid="{00000000-0005-0000-0000-0000AF050000}"/>
    <cellStyle name="Warning Text 13" xfId="1447" xr:uid="{00000000-0005-0000-0000-0000B0050000}"/>
    <cellStyle name="Warning Text 14" xfId="1448" xr:uid="{00000000-0005-0000-0000-0000B1050000}"/>
    <cellStyle name="Warning Text 15" xfId="1449" xr:uid="{00000000-0005-0000-0000-0000B2050000}"/>
    <cellStyle name="Warning Text 16" xfId="1450" xr:uid="{00000000-0005-0000-0000-0000B3050000}"/>
    <cellStyle name="Warning Text 2" xfId="1451" xr:uid="{00000000-0005-0000-0000-0000B4050000}"/>
    <cellStyle name="Warning Text 3" xfId="1452" xr:uid="{00000000-0005-0000-0000-0000B5050000}"/>
    <cellStyle name="Warning Text 4" xfId="1453" xr:uid="{00000000-0005-0000-0000-0000B6050000}"/>
    <cellStyle name="Warning Text 5" xfId="1454" xr:uid="{00000000-0005-0000-0000-0000B7050000}"/>
    <cellStyle name="Warning Text 6" xfId="1455" xr:uid="{00000000-0005-0000-0000-0000B8050000}"/>
    <cellStyle name="Warning Text 7" xfId="1456" xr:uid="{00000000-0005-0000-0000-0000B9050000}"/>
    <cellStyle name="Warning Text 8" xfId="1457" xr:uid="{00000000-0005-0000-0000-0000BA050000}"/>
    <cellStyle name="Warning Text 9" xfId="1458" xr:uid="{00000000-0005-0000-0000-0000BB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1">
    <tabColor rgb="FF92D050"/>
    <pageSetUpPr fitToPage="1"/>
  </sheetPr>
  <dimension ref="A1:M205"/>
  <sheetViews>
    <sheetView topLeftCell="A187" zoomScale="90" zoomScaleNormal="90" zoomScaleSheetLayoutView="40" zoomScalePageLayoutView="55" workbookViewId="0">
      <selection activeCell="B82" sqref="B82"/>
    </sheetView>
  </sheetViews>
  <sheetFormatPr defaultRowHeight="15.75" x14ac:dyDescent="0.2"/>
  <cols>
    <col min="1" max="1" width="11.7109375" style="217" customWidth="1"/>
    <col min="2" max="2" width="40.28515625" style="217" customWidth="1"/>
    <col min="3" max="3" width="16.85546875" style="217" hidden="1" customWidth="1"/>
    <col min="4" max="4" width="15.140625" style="269" hidden="1" customWidth="1"/>
    <col min="5" max="5" width="18.140625" style="534" hidden="1" customWidth="1"/>
    <col min="6" max="6" width="18.28515625" style="269" hidden="1" customWidth="1"/>
    <col min="7" max="7" width="20.42578125" style="402" customWidth="1"/>
    <col min="8" max="8" width="14.28515625" style="269" customWidth="1"/>
    <col min="9" max="9" width="16.42578125" style="269" customWidth="1"/>
    <col min="10" max="10" width="46.140625" style="269" customWidth="1"/>
    <col min="11" max="12" width="11.85546875" style="269" customWidth="1"/>
    <col min="13" max="13" width="52.42578125" style="269" customWidth="1"/>
    <col min="14" max="14" width="10.7109375" style="217" bestFit="1" customWidth="1"/>
    <col min="15" max="16384" width="9.140625" style="217"/>
  </cols>
  <sheetData>
    <row r="1" spans="1:13" ht="126" x14ac:dyDescent="0.2">
      <c r="A1" s="229" t="s">
        <v>0</v>
      </c>
      <c r="B1" s="230" t="s">
        <v>659</v>
      </c>
      <c r="C1" s="140" t="s">
        <v>687</v>
      </c>
      <c r="D1" s="140" t="s">
        <v>682</v>
      </c>
      <c r="E1" s="551" t="s">
        <v>776</v>
      </c>
      <c r="F1" s="552" t="s">
        <v>777</v>
      </c>
      <c r="G1" s="551" t="s">
        <v>778</v>
      </c>
      <c r="H1" s="232" t="s">
        <v>689</v>
      </c>
      <c r="I1" s="203" t="s">
        <v>684</v>
      </c>
      <c r="J1" s="140" t="s">
        <v>680</v>
      </c>
      <c r="K1" s="232" t="s">
        <v>690</v>
      </c>
      <c r="L1" s="203" t="s">
        <v>686</v>
      </c>
      <c r="M1" s="140" t="s">
        <v>680</v>
      </c>
    </row>
    <row r="2" spans="1:13" x14ac:dyDescent="0.2">
      <c r="A2" s="229">
        <v>1</v>
      </c>
      <c r="B2" s="230">
        <v>2</v>
      </c>
      <c r="C2" s="140">
        <v>3</v>
      </c>
      <c r="D2" s="140">
        <v>4</v>
      </c>
      <c r="E2" s="551">
        <v>5</v>
      </c>
      <c r="F2" s="552">
        <v>6</v>
      </c>
      <c r="G2" s="551">
        <v>5</v>
      </c>
      <c r="H2" s="231">
        <v>8</v>
      </c>
      <c r="I2" s="181">
        <v>9</v>
      </c>
      <c r="J2" s="140">
        <v>10</v>
      </c>
      <c r="K2" s="232">
        <v>11</v>
      </c>
      <c r="L2" s="181">
        <v>12</v>
      </c>
      <c r="M2" s="140">
        <v>13</v>
      </c>
    </row>
    <row r="3" spans="1:13" ht="31.5" x14ac:dyDescent="0.2">
      <c r="A3" s="233" t="s">
        <v>1</v>
      </c>
      <c r="B3" s="259" t="s">
        <v>2</v>
      </c>
      <c r="C3" s="191">
        <f>C4+C22+C25+C29+C30+C31+C32+C33</f>
        <v>22837629.260000005</v>
      </c>
      <c r="D3" s="191">
        <v>23894033.032099999</v>
      </c>
      <c r="E3" s="191">
        <f>E4+E22+E25+E29+E30+E31+E32+E33</f>
        <v>22837629.260000005</v>
      </c>
      <c r="F3" s="191">
        <v>23894033.032099999</v>
      </c>
      <c r="G3" s="553">
        <f>G4+G22+G25+G29+G30+G31+G32+G33</f>
        <v>25002586.759999998</v>
      </c>
      <c r="H3" s="189">
        <f t="shared" ref="H3:H34" si="0">G3-F3</f>
        <v>1108553.7278999984</v>
      </c>
      <c r="I3" s="182">
        <f t="shared" ref="I3:I34" si="1">IFERROR(H3/ABS(F3), "-")</f>
        <v>4.6394584221539005E-2</v>
      </c>
      <c r="J3" s="331"/>
      <c r="K3" s="189">
        <f t="shared" ref="K3:K34" si="2">G3-E3</f>
        <v>2164957.4999999925</v>
      </c>
      <c r="L3" s="182">
        <f t="shared" ref="L3:L34" si="3">IFERROR(K3/ABS(E3), "-")</f>
        <v>9.4797821409243421E-2</v>
      </c>
      <c r="M3" s="331"/>
    </row>
    <row r="4" spans="1:13" s="235" customFormat="1" x14ac:dyDescent="0.2">
      <c r="A4" s="234" t="s">
        <v>118</v>
      </c>
      <c r="B4" s="254" t="s">
        <v>3</v>
      </c>
      <c r="C4" s="191">
        <f>C5+C10+C13+C16+C21</f>
        <v>20490208</v>
      </c>
      <c r="D4" s="191">
        <v>21183467.2256</v>
      </c>
      <c r="E4" s="191">
        <f>E5+E10+E13+E16+E21</f>
        <v>20490208</v>
      </c>
      <c r="F4" s="191">
        <v>21183467.2256</v>
      </c>
      <c r="G4" s="553">
        <f>G5+G10+G13+G16+G21</f>
        <v>22324146.77</v>
      </c>
      <c r="H4" s="189">
        <f t="shared" si="0"/>
        <v>1140679.5443999991</v>
      </c>
      <c r="I4" s="182">
        <f t="shared" si="1"/>
        <v>5.3847631846664822E-2</v>
      </c>
      <c r="J4" s="331"/>
      <c r="K4" s="189">
        <f t="shared" si="2"/>
        <v>1833938.7699999996</v>
      </c>
      <c r="L4" s="182">
        <f t="shared" si="3"/>
        <v>8.9503179762743232E-2</v>
      </c>
      <c r="M4" s="331"/>
    </row>
    <row r="5" spans="1:13" s="235" customFormat="1" ht="31.5" x14ac:dyDescent="0.2">
      <c r="A5" s="234" t="s">
        <v>119</v>
      </c>
      <c r="B5" s="254" t="s">
        <v>120</v>
      </c>
      <c r="C5" s="191">
        <f>SUM(C6:C9)</f>
        <v>19491338.48</v>
      </c>
      <c r="D5" s="191">
        <v>20123731</v>
      </c>
      <c r="E5" s="191">
        <f>SUM(E6:E9)</f>
        <v>19491338.48</v>
      </c>
      <c r="F5" s="191">
        <v>20123731</v>
      </c>
      <c r="G5" s="553">
        <f>G6+G7+G8+G9</f>
        <v>21136461.699999999</v>
      </c>
      <c r="H5" s="189">
        <f t="shared" si="0"/>
        <v>1012730.6999999993</v>
      </c>
      <c r="I5" s="182">
        <f t="shared" si="1"/>
        <v>5.0325195660784736E-2</v>
      </c>
      <c r="J5" s="243"/>
      <c r="K5" s="189">
        <f t="shared" si="2"/>
        <v>1645123.2199999988</v>
      </c>
      <c r="L5" s="182">
        <f t="shared" si="3"/>
        <v>8.4402783404949555E-2</v>
      </c>
      <c r="M5" s="243"/>
    </row>
    <row r="6" spans="1:13" ht="47.25" x14ac:dyDescent="0.2">
      <c r="A6" s="321" t="s">
        <v>121</v>
      </c>
      <c r="B6" s="322" t="s">
        <v>675</v>
      </c>
      <c r="C6" s="202">
        <v>18145765.93</v>
      </c>
      <c r="D6" s="202">
        <v>18497761</v>
      </c>
      <c r="E6" s="202">
        <v>18145765.93</v>
      </c>
      <c r="F6" s="202">
        <v>18497761</v>
      </c>
      <c r="G6" s="554">
        <f>19494549.66+7912.56</f>
        <v>19502462.219999999</v>
      </c>
      <c r="H6" s="189">
        <f t="shared" si="0"/>
        <v>1004701.2199999988</v>
      </c>
      <c r="I6" s="182">
        <f t="shared" si="1"/>
        <v>5.4314747606480522E-2</v>
      </c>
      <c r="J6" s="652" t="s">
        <v>789</v>
      </c>
      <c r="K6" s="195">
        <f t="shared" si="2"/>
        <v>1356696.2899999991</v>
      </c>
      <c r="L6" s="203">
        <f t="shared" si="3"/>
        <v>7.4766548584041997E-2</v>
      </c>
      <c r="M6" s="653" t="s">
        <v>790</v>
      </c>
    </row>
    <row r="7" spans="1:13" ht="78.75" x14ac:dyDescent="0.2">
      <c r="A7" s="236" t="s">
        <v>122</v>
      </c>
      <c r="B7" s="266" t="s">
        <v>5</v>
      </c>
      <c r="C7" s="202">
        <v>69276.39</v>
      </c>
      <c r="D7" s="202">
        <v>62888</v>
      </c>
      <c r="E7" s="202">
        <v>69276.39</v>
      </c>
      <c r="F7" s="202">
        <v>62888</v>
      </c>
      <c r="G7" s="555">
        <f>128440+50</f>
        <v>128490</v>
      </c>
      <c r="H7" s="189">
        <f t="shared" si="0"/>
        <v>65602</v>
      </c>
      <c r="I7" s="182">
        <f t="shared" si="1"/>
        <v>1.0431560870118306</v>
      </c>
      <c r="J7" s="652" t="s">
        <v>741</v>
      </c>
      <c r="K7" s="183">
        <f t="shared" si="2"/>
        <v>59213.61</v>
      </c>
      <c r="L7" s="184">
        <f t="shared" si="3"/>
        <v>0.85474445189768122</v>
      </c>
      <c r="M7" s="652" t="s">
        <v>742</v>
      </c>
    </row>
    <row r="8" spans="1:13" ht="63" x14ac:dyDescent="0.2">
      <c r="A8" s="236" t="s">
        <v>123</v>
      </c>
      <c r="B8" s="266" t="s">
        <v>6</v>
      </c>
      <c r="C8" s="202">
        <v>1261911.3999999999</v>
      </c>
      <c r="D8" s="202">
        <v>1531311</v>
      </c>
      <c r="E8" s="202">
        <v>1261911.3999999999</v>
      </c>
      <c r="F8" s="202">
        <v>1531311</v>
      </c>
      <c r="G8" s="555">
        <f>1464733.4-37.76</f>
        <v>1464695.64</v>
      </c>
      <c r="H8" s="189">
        <f t="shared" si="0"/>
        <v>-66615.360000000102</v>
      </c>
      <c r="I8" s="182">
        <f t="shared" si="1"/>
        <v>-4.3502175586801181E-2</v>
      </c>
      <c r="J8" s="243"/>
      <c r="K8" s="183">
        <f t="shared" si="2"/>
        <v>202784.24</v>
      </c>
      <c r="L8" s="184">
        <f t="shared" si="3"/>
        <v>0.16069609958353653</v>
      </c>
      <c r="M8" s="652" t="s">
        <v>743</v>
      </c>
    </row>
    <row r="9" spans="1:13" ht="78.75" x14ac:dyDescent="0.2">
      <c r="A9" s="236" t="s">
        <v>124</v>
      </c>
      <c r="B9" s="266" t="s">
        <v>7</v>
      </c>
      <c r="C9" s="202">
        <v>14384.76</v>
      </c>
      <c r="D9" s="202">
        <v>31771</v>
      </c>
      <c r="E9" s="202">
        <v>14384.76</v>
      </c>
      <c r="F9" s="202">
        <v>31771</v>
      </c>
      <c r="G9" s="555">
        <v>40813.839999999997</v>
      </c>
      <c r="H9" s="189">
        <f t="shared" si="0"/>
        <v>9042.8399999999965</v>
      </c>
      <c r="I9" s="182">
        <f t="shared" si="1"/>
        <v>0.28462560196405517</v>
      </c>
      <c r="J9" s="652" t="s">
        <v>741</v>
      </c>
      <c r="K9" s="183">
        <f t="shared" si="2"/>
        <v>26429.079999999994</v>
      </c>
      <c r="L9" s="184">
        <f>IFERROR(K9/ABS(E9), "-")</f>
        <v>1.8372972507014365</v>
      </c>
      <c r="M9" s="652" t="s">
        <v>742</v>
      </c>
    </row>
    <row r="10" spans="1:13" x14ac:dyDescent="0.2">
      <c r="A10" s="234" t="s">
        <v>125</v>
      </c>
      <c r="B10" s="254" t="s">
        <v>126</v>
      </c>
      <c r="C10" s="191">
        <v>0</v>
      </c>
      <c r="D10" s="191">
        <v>0</v>
      </c>
      <c r="E10" s="191">
        <v>0</v>
      </c>
      <c r="F10" s="191">
        <v>0</v>
      </c>
      <c r="G10" s="553">
        <v>0</v>
      </c>
      <c r="H10" s="189">
        <f t="shared" si="0"/>
        <v>0</v>
      </c>
      <c r="I10" s="182" t="str">
        <f t="shared" si="1"/>
        <v>-</v>
      </c>
      <c r="J10" s="762"/>
      <c r="K10" s="189">
        <f t="shared" si="2"/>
        <v>0</v>
      </c>
      <c r="L10" s="182" t="str">
        <f t="shared" si="3"/>
        <v>-</v>
      </c>
      <c r="M10" s="762"/>
    </row>
    <row r="11" spans="1:13" x14ac:dyDescent="0.2">
      <c r="A11" s="236" t="s">
        <v>127</v>
      </c>
      <c r="B11" s="266" t="s">
        <v>128</v>
      </c>
      <c r="C11" s="202">
        <v>0</v>
      </c>
      <c r="D11" s="202">
        <v>0</v>
      </c>
      <c r="E11" s="202">
        <v>0</v>
      </c>
      <c r="F11" s="202">
        <v>0</v>
      </c>
      <c r="G11" s="555">
        <v>0</v>
      </c>
      <c r="H11" s="189">
        <f t="shared" si="0"/>
        <v>0</v>
      </c>
      <c r="I11" s="182" t="str">
        <f t="shared" si="1"/>
        <v>-</v>
      </c>
      <c r="J11" s="763"/>
      <c r="K11" s="183">
        <f t="shared" si="2"/>
        <v>0</v>
      </c>
      <c r="L11" s="184" t="str">
        <f t="shared" si="3"/>
        <v>-</v>
      </c>
      <c r="M11" s="763"/>
    </row>
    <row r="12" spans="1:13" ht="15" customHeight="1" x14ac:dyDescent="0.2">
      <c r="A12" s="236" t="s">
        <v>129</v>
      </c>
      <c r="B12" s="266" t="s">
        <v>130</v>
      </c>
      <c r="C12" s="202">
        <v>0</v>
      </c>
      <c r="D12" s="202">
        <v>0</v>
      </c>
      <c r="E12" s="202">
        <v>0</v>
      </c>
      <c r="F12" s="202">
        <v>0</v>
      </c>
      <c r="G12" s="555">
        <v>0</v>
      </c>
      <c r="H12" s="189">
        <f t="shared" si="0"/>
        <v>0</v>
      </c>
      <c r="I12" s="182" t="str">
        <f t="shared" si="1"/>
        <v>-</v>
      </c>
      <c r="J12" s="764"/>
      <c r="K12" s="183">
        <f t="shared" si="2"/>
        <v>0</v>
      </c>
      <c r="L12" s="184" t="str">
        <f t="shared" si="3"/>
        <v>-</v>
      </c>
      <c r="M12" s="764"/>
    </row>
    <row r="13" spans="1:13" ht="31.5" x14ac:dyDescent="0.2">
      <c r="A13" s="234" t="s">
        <v>131</v>
      </c>
      <c r="B13" s="254" t="s">
        <v>132</v>
      </c>
      <c r="C13" s="191">
        <f t="shared" ref="C13:E13" si="4">SUM(C14:C15)</f>
        <v>753757.78</v>
      </c>
      <c r="D13" s="191">
        <v>807162.44859999989</v>
      </c>
      <c r="E13" s="191">
        <f t="shared" si="4"/>
        <v>753757.78</v>
      </c>
      <c r="F13" s="191">
        <v>807162.44859999989</v>
      </c>
      <c r="G13" s="553">
        <f>G14+G15</f>
        <v>878684.91</v>
      </c>
      <c r="H13" s="189">
        <f t="shared" si="0"/>
        <v>71522.461400000146</v>
      </c>
      <c r="I13" s="182">
        <f t="shared" si="1"/>
        <v>8.8609748290513018E-2</v>
      </c>
      <c r="J13" s="769" t="s">
        <v>751</v>
      </c>
      <c r="K13" s="189">
        <f t="shared" si="2"/>
        <v>124927.13</v>
      </c>
      <c r="L13" s="182">
        <f t="shared" si="3"/>
        <v>0.16573909194011902</v>
      </c>
      <c r="M13" s="769" t="s">
        <v>694</v>
      </c>
    </row>
    <row r="14" spans="1:13" ht="84" customHeight="1" x14ac:dyDescent="0.2">
      <c r="A14" s="236" t="s">
        <v>133</v>
      </c>
      <c r="B14" s="266" t="s">
        <v>134</v>
      </c>
      <c r="C14" s="202">
        <v>753757.78</v>
      </c>
      <c r="D14" s="202">
        <v>807162.44859999989</v>
      </c>
      <c r="E14" s="202">
        <v>753757.78</v>
      </c>
      <c r="F14" s="202">
        <v>807162.44859999989</v>
      </c>
      <c r="G14" s="555">
        <f>844.23+870829.04+7011.64</f>
        <v>878684.91</v>
      </c>
      <c r="H14" s="189">
        <f t="shared" si="0"/>
        <v>71522.461400000146</v>
      </c>
      <c r="I14" s="182">
        <f t="shared" si="1"/>
        <v>8.8609748290513018E-2</v>
      </c>
      <c r="J14" s="770"/>
      <c r="K14" s="183">
        <f t="shared" si="2"/>
        <v>124927.13</v>
      </c>
      <c r="L14" s="184">
        <f t="shared" si="3"/>
        <v>0.16573909194011902</v>
      </c>
      <c r="M14" s="770"/>
    </row>
    <row r="15" spans="1:13" ht="33.75" customHeight="1" x14ac:dyDescent="0.2">
      <c r="A15" s="236" t="s">
        <v>135</v>
      </c>
      <c r="B15" s="266" t="s">
        <v>416</v>
      </c>
      <c r="C15" s="202">
        <v>0</v>
      </c>
      <c r="D15" s="202">
        <v>0</v>
      </c>
      <c r="E15" s="202">
        <v>0</v>
      </c>
      <c r="F15" s="202">
        <v>0</v>
      </c>
      <c r="G15" s="555">
        <v>0</v>
      </c>
      <c r="H15" s="189">
        <f t="shared" si="0"/>
        <v>0</v>
      </c>
      <c r="I15" s="182" t="str">
        <f t="shared" si="1"/>
        <v>-</v>
      </c>
      <c r="J15" s="771"/>
      <c r="K15" s="183">
        <f t="shared" si="2"/>
        <v>0</v>
      </c>
      <c r="L15" s="184" t="str">
        <f t="shared" si="3"/>
        <v>-</v>
      </c>
      <c r="M15" s="771"/>
    </row>
    <row r="16" spans="1:13" ht="15.75" customHeight="1" x14ac:dyDescent="0.2">
      <c r="A16" s="234" t="s">
        <v>136</v>
      </c>
      <c r="B16" s="254" t="s">
        <v>107</v>
      </c>
      <c r="C16" s="191">
        <f t="shared" ref="C16:E16" si="5">SUM(C17:C20)</f>
        <v>245111.74</v>
      </c>
      <c r="D16" s="191">
        <v>252573.777</v>
      </c>
      <c r="E16" s="191">
        <f t="shared" si="5"/>
        <v>245111.74</v>
      </c>
      <c r="F16" s="191">
        <v>252573.777</v>
      </c>
      <c r="G16" s="553">
        <f>G17+G18+G19+G20</f>
        <v>309000.16000000003</v>
      </c>
      <c r="H16" s="189">
        <f t="shared" si="0"/>
        <v>56426.383000000031</v>
      </c>
      <c r="I16" s="182">
        <f t="shared" si="1"/>
        <v>0.22340554775803204</v>
      </c>
      <c r="J16" s="757" t="s">
        <v>755</v>
      </c>
      <c r="K16" s="189">
        <f t="shared" si="2"/>
        <v>63888.420000000042</v>
      </c>
      <c r="L16" s="182">
        <f t="shared" si="3"/>
        <v>0.26065018346326474</v>
      </c>
      <c r="M16" s="757" t="s">
        <v>755</v>
      </c>
    </row>
    <row r="17" spans="1:13" x14ac:dyDescent="0.2">
      <c r="A17" s="236" t="s">
        <v>137</v>
      </c>
      <c r="B17" s="266" t="s">
        <v>8</v>
      </c>
      <c r="C17" s="202">
        <v>0</v>
      </c>
      <c r="D17" s="202">
        <v>0</v>
      </c>
      <c r="E17" s="202">
        <v>0</v>
      </c>
      <c r="F17" s="202">
        <v>0</v>
      </c>
      <c r="G17" s="555">
        <v>0</v>
      </c>
      <c r="H17" s="189">
        <f t="shared" si="0"/>
        <v>0</v>
      </c>
      <c r="I17" s="182" t="str">
        <f t="shared" si="1"/>
        <v>-</v>
      </c>
      <c r="J17" s="758"/>
      <c r="K17" s="183">
        <f t="shared" si="2"/>
        <v>0</v>
      </c>
      <c r="L17" s="184" t="str">
        <f t="shared" si="3"/>
        <v>-</v>
      </c>
      <c r="M17" s="758"/>
    </row>
    <row r="18" spans="1:13" ht="31.5" x14ac:dyDescent="0.2">
      <c r="A18" s="236" t="s">
        <v>138</v>
      </c>
      <c r="B18" s="322" t="s">
        <v>9</v>
      </c>
      <c r="C18" s="211">
        <v>245111.74</v>
      </c>
      <c r="D18" s="211">
        <v>252573.777</v>
      </c>
      <c r="E18" s="211">
        <v>245111.74</v>
      </c>
      <c r="F18" s="211">
        <v>252573.777</v>
      </c>
      <c r="G18" s="554">
        <f>136339.69+172660.47</f>
        <v>309000.16000000003</v>
      </c>
      <c r="H18" s="189">
        <f t="shared" si="0"/>
        <v>56426.383000000031</v>
      </c>
      <c r="I18" s="182">
        <f>IFERROR(H18/ABS(F18), "-")</f>
        <v>0.22340554775803204</v>
      </c>
      <c r="J18" s="758"/>
      <c r="K18" s="183">
        <f>G18-E18</f>
        <v>63888.420000000042</v>
      </c>
      <c r="L18" s="184">
        <f t="shared" si="3"/>
        <v>0.26065018346326474</v>
      </c>
      <c r="M18" s="758"/>
    </row>
    <row r="19" spans="1:13" ht="31.5" x14ac:dyDescent="0.2">
      <c r="A19" s="236" t="s">
        <v>139</v>
      </c>
      <c r="B19" s="266" t="s">
        <v>11</v>
      </c>
      <c r="C19" s="202">
        <v>0</v>
      </c>
      <c r="D19" s="202">
        <v>0</v>
      </c>
      <c r="E19" s="202">
        <v>0</v>
      </c>
      <c r="F19" s="202">
        <v>0</v>
      </c>
      <c r="G19" s="555">
        <v>0</v>
      </c>
      <c r="H19" s="189">
        <f t="shared" si="0"/>
        <v>0</v>
      </c>
      <c r="I19" s="182" t="str">
        <f t="shared" si="1"/>
        <v>-</v>
      </c>
      <c r="J19" s="758"/>
      <c r="K19" s="183">
        <f t="shared" si="2"/>
        <v>0</v>
      </c>
      <c r="L19" s="184" t="str">
        <f t="shared" si="3"/>
        <v>-</v>
      </c>
      <c r="M19" s="758"/>
    </row>
    <row r="20" spans="1:13" x14ac:dyDescent="0.2">
      <c r="A20" s="236" t="s">
        <v>140</v>
      </c>
      <c r="B20" s="266" t="s">
        <v>12</v>
      </c>
      <c r="C20" s="202">
        <v>0</v>
      </c>
      <c r="D20" s="202">
        <v>0</v>
      </c>
      <c r="E20" s="202">
        <v>0</v>
      </c>
      <c r="F20" s="202">
        <v>0</v>
      </c>
      <c r="G20" s="555">
        <v>0</v>
      </c>
      <c r="H20" s="189">
        <f t="shared" si="0"/>
        <v>0</v>
      </c>
      <c r="I20" s="182" t="str">
        <f t="shared" si="1"/>
        <v>-</v>
      </c>
      <c r="J20" s="759"/>
      <c r="K20" s="183">
        <f t="shared" si="2"/>
        <v>0</v>
      </c>
      <c r="L20" s="184" t="str">
        <f t="shared" si="3"/>
        <v>-</v>
      </c>
      <c r="M20" s="759"/>
    </row>
    <row r="21" spans="1:13" ht="31.5" x14ac:dyDescent="0.2">
      <c r="A21" s="234" t="s">
        <v>411</v>
      </c>
      <c r="B21" s="254" t="s">
        <v>412</v>
      </c>
      <c r="C21" s="201">
        <v>0</v>
      </c>
      <c r="D21" s="201">
        <v>0</v>
      </c>
      <c r="E21" s="201">
        <v>0</v>
      </c>
      <c r="F21" s="201">
        <v>0</v>
      </c>
      <c r="G21" s="556">
        <v>0</v>
      </c>
      <c r="H21" s="189">
        <f t="shared" si="0"/>
        <v>0</v>
      </c>
      <c r="I21" s="182" t="str">
        <f t="shared" si="1"/>
        <v>-</v>
      </c>
      <c r="J21" s="332"/>
      <c r="K21" s="185">
        <f t="shared" si="2"/>
        <v>0</v>
      </c>
      <c r="L21" s="182" t="str">
        <f t="shared" si="3"/>
        <v>-</v>
      </c>
      <c r="M21" s="332"/>
    </row>
    <row r="22" spans="1:13" s="235" customFormat="1" x14ac:dyDescent="0.2">
      <c r="A22" s="234" t="s">
        <v>141</v>
      </c>
      <c r="B22" s="254" t="s">
        <v>13</v>
      </c>
      <c r="C22" s="191">
        <v>0</v>
      </c>
      <c r="D22" s="191">
        <v>0</v>
      </c>
      <c r="E22" s="191">
        <v>0</v>
      </c>
      <c r="F22" s="191">
        <v>0</v>
      </c>
      <c r="G22" s="553">
        <v>0</v>
      </c>
      <c r="H22" s="189">
        <f t="shared" si="0"/>
        <v>0</v>
      </c>
      <c r="I22" s="182" t="str">
        <f t="shared" si="1"/>
        <v>-</v>
      </c>
      <c r="J22" s="762"/>
      <c r="K22" s="189">
        <f t="shared" si="2"/>
        <v>0</v>
      </c>
      <c r="L22" s="182" t="str">
        <f t="shared" si="3"/>
        <v>-</v>
      </c>
      <c r="M22" s="762"/>
    </row>
    <row r="23" spans="1:13" x14ac:dyDescent="0.2">
      <c r="A23" s="236" t="s">
        <v>142</v>
      </c>
      <c r="B23" s="266" t="s">
        <v>414</v>
      </c>
      <c r="C23" s="202">
        <v>0</v>
      </c>
      <c r="D23" s="202">
        <v>0</v>
      </c>
      <c r="E23" s="202">
        <v>0</v>
      </c>
      <c r="F23" s="202">
        <v>0</v>
      </c>
      <c r="G23" s="555">
        <v>0</v>
      </c>
      <c r="H23" s="189">
        <f t="shared" si="0"/>
        <v>0</v>
      </c>
      <c r="I23" s="182" t="str">
        <f t="shared" si="1"/>
        <v>-</v>
      </c>
      <c r="J23" s="763"/>
      <c r="K23" s="183">
        <f t="shared" si="2"/>
        <v>0</v>
      </c>
      <c r="L23" s="184" t="str">
        <f t="shared" si="3"/>
        <v>-</v>
      </c>
      <c r="M23" s="763"/>
    </row>
    <row r="24" spans="1:13" x14ac:dyDescent="0.2">
      <c r="A24" s="236" t="s">
        <v>413</v>
      </c>
      <c r="B24" s="266" t="s">
        <v>415</v>
      </c>
      <c r="C24" s="202">
        <v>0</v>
      </c>
      <c r="D24" s="202">
        <v>0</v>
      </c>
      <c r="E24" s="202">
        <v>0</v>
      </c>
      <c r="F24" s="202">
        <v>0</v>
      </c>
      <c r="G24" s="555">
        <v>0</v>
      </c>
      <c r="H24" s="189">
        <f t="shared" si="0"/>
        <v>0</v>
      </c>
      <c r="I24" s="182" t="str">
        <f t="shared" si="1"/>
        <v>-</v>
      </c>
      <c r="J24" s="764"/>
      <c r="K24" s="183">
        <f t="shared" si="2"/>
        <v>0</v>
      </c>
      <c r="L24" s="184" t="str">
        <f t="shared" si="3"/>
        <v>-</v>
      </c>
      <c r="M24" s="764"/>
    </row>
    <row r="25" spans="1:13" s="235" customFormat="1" x14ac:dyDescent="0.2">
      <c r="A25" s="234" t="s">
        <v>143</v>
      </c>
      <c r="B25" s="254" t="s">
        <v>14</v>
      </c>
      <c r="C25" s="191">
        <f t="shared" ref="C25:E25" si="6">SUM(C26:C28)</f>
        <v>1363317.9900000002</v>
      </c>
      <c r="D25" s="191">
        <v>1678028.6835</v>
      </c>
      <c r="E25" s="191">
        <f t="shared" si="6"/>
        <v>1363317.9900000002</v>
      </c>
      <c r="F25" s="191">
        <v>1678028.6835</v>
      </c>
      <c r="G25" s="553">
        <f>G26+G27+G28</f>
        <v>1674733.6</v>
      </c>
      <c r="H25" s="189">
        <f t="shared" si="0"/>
        <v>-3295.0834999999497</v>
      </c>
      <c r="I25" s="182">
        <f t="shared" si="1"/>
        <v>-1.9636633940768688E-3</v>
      </c>
      <c r="J25" s="757" t="s">
        <v>696</v>
      </c>
      <c r="K25" s="189">
        <f t="shared" si="2"/>
        <v>311415.60999999987</v>
      </c>
      <c r="L25" s="182">
        <f t="shared" si="3"/>
        <v>0.22842477858008742</v>
      </c>
      <c r="M25" s="757" t="s">
        <v>750</v>
      </c>
    </row>
    <row r="26" spans="1:13" x14ac:dyDescent="0.2">
      <c r="A26" s="236" t="s">
        <v>289</v>
      </c>
      <c r="B26" s="266" t="s">
        <v>144</v>
      </c>
      <c r="C26" s="202">
        <v>1123394.3500000001</v>
      </c>
      <c r="D26" s="202">
        <v>1412078.5345000001</v>
      </c>
      <c r="E26" s="202">
        <v>1123394.3500000001</v>
      </c>
      <c r="F26" s="202">
        <v>1412078.5345000001</v>
      </c>
      <c r="G26" s="555">
        <f>1359899.36+799</f>
        <v>1360698.36</v>
      </c>
      <c r="H26" s="189">
        <f t="shared" si="0"/>
        <v>-51380.174499999965</v>
      </c>
      <c r="I26" s="182">
        <f t="shared" si="1"/>
        <v>-3.6386201790251746E-2</v>
      </c>
      <c r="J26" s="758"/>
      <c r="K26" s="183">
        <f t="shared" si="2"/>
        <v>237304.01</v>
      </c>
      <c r="L26" s="184">
        <f t="shared" si="3"/>
        <v>0.21123838659149388</v>
      </c>
      <c r="M26" s="775"/>
    </row>
    <row r="27" spans="1:13" x14ac:dyDescent="0.2">
      <c r="A27" s="236" t="s">
        <v>290</v>
      </c>
      <c r="B27" s="266" t="s">
        <v>145</v>
      </c>
      <c r="C27" s="202"/>
      <c r="D27" s="202">
        <v>0</v>
      </c>
      <c r="E27" s="202"/>
      <c r="F27" s="202">
        <v>0</v>
      </c>
      <c r="G27" s="555"/>
      <c r="H27" s="189">
        <f t="shared" si="0"/>
        <v>0</v>
      </c>
      <c r="I27" s="182" t="str">
        <f t="shared" si="1"/>
        <v>-</v>
      </c>
      <c r="J27" s="758"/>
      <c r="K27" s="183">
        <f t="shared" si="2"/>
        <v>0</v>
      </c>
      <c r="L27" s="184" t="str">
        <f t="shared" si="3"/>
        <v>-</v>
      </c>
      <c r="M27" s="775"/>
    </row>
    <row r="28" spans="1:13" x14ac:dyDescent="0.2">
      <c r="A28" s="236" t="s">
        <v>146</v>
      </c>
      <c r="B28" s="266" t="s">
        <v>15</v>
      </c>
      <c r="C28" s="202">
        <v>239923.64</v>
      </c>
      <c r="D28" s="202">
        <v>265950.14900000003</v>
      </c>
      <c r="E28" s="202">
        <v>239923.64</v>
      </c>
      <c r="F28" s="202">
        <v>265950.14900000003</v>
      </c>
      <c r="G28" s="555">
        <v>314035.24</v>
      </c>
      <c r="H28" s="189">
        <f t="shared" si="0"/>
        <v>48085.090999999957</v>
      </c>
      <c r="I28" s="182">
        <f t="shared" si="1"/>
        <v>0.18080490340315603</v>
      </c>
      <c r="J28" s="759"/>
      <c r="K28" s="183">
        <f t="shared" si="2"/>
        <v>74111.599999999977</v>
      </c>
      <c r="L28" s="184">
        <f t="shared" si="3"/>
        <v>0.30889661393933493</v>
      </c>
      <c r="M28" s="776"/>
    </row>
    <row r="29" spans="1:13" ht="31.5" x14ac:dyDescent="0.2">
      <c r="A29" s="237" t="s">
        <v>149</v>
      </c>
      <c r="B29" s="263" t="s">
        <v>16</v>
      </c>
      <c r="C29" s="212">
        <v>283132</v>
      </c>
      <c r="D29" s="212">
        <v>291911.13</v>
      </c>
      <c r="E29" s="212">
        <v>283132</v>
      </c>
      <c r="F29" s="212">
        <v>291911.13</v>
      </c>
      <c r="G29" s="557">
        <v>286043.28999999998</v>
      </c>
      <c r="H29" s="189">
        <f t="shared" si="0"/>
        <v>-5867.8400000000256</v>
      </c>
      <c r="I29" s="182">
        <f t="shared" si="1"/>
        <v>-2.0101460331437261E-2</v>
      </c>
      <c r="J29" s="333"/>
      <c r="K29" s="186">
        <f t="shared" si="2"/>
        <v>2911.289999999979</v>
      </c>
      <c r="L29" s="187">
        <f t="shared" si="3"/>
        <v>1.0282447762880844E-2</v>
      </c>
      <c r="M29" s="333"/>
    </row>
    <row r="30" spans="1:13" ht="31.5" x14ac:dyDescent="0.2">
      <c r="A30" s="237" t="s">
        <v>150</v>
      </c>
      <c r="B30" s="263" t="s">
        <v>17</v>
      </c>
      <c r="C30" s="212">
        <v>310593.34999999998</v>
      </c>
      <c r="D30" s="212">
        <v>320036.19300000003</v>
      </c>
      <c r="E30" s="212">
        <v>310593.34999999998</v>
      </c>
      <c r="F30" s="212">
        <v>320036.19300000003</v>
      </c>
      <c r="G30" s="557">
        <v>307255.90000000002</v>
      </c>
      <c r="H30" s="189">
        <f t="shared" si="0"/>
        <v>-12780.293000000005</v>
      </c>
      <c r="I30" s="182">
        <f t="shared" si="1"/>
        <v>-3.9933898976232368E-2</v>
      </c>
      <c r="J30" s="333"/>
      <c r="K30" s="186">
        <f t="shared" si="2"/>
        <v>-3337.4499999999534</v>
      </c>
      <c r="L30" s="187">
        <f t="shared" si="3"/>
        <v>-1.074540069837282E-2</v>
      </c>
      <c r="M30" s="333"/>
    </row>
    <row r="31" spans="1:13" x14ac:dyDescent="0.2">
      <c r="A31" s="237" t="s">
        <v>151</v>
      </c>
      <c r="B31" s="263" t="s">
        <v>18</v>
      </c>
      <c r="C31" s="212"/>
      <c r="D31" s="212">
        <v>0</v>
      </c>
      <c r="E31" s="212"/>
      <c r="F31" s="212">
        <v>0</v>
      </c>
      <c r="G31" s="557"/>
      <c r="H31" s="189">
        <f t="shared" si="0"/>
        <v>0</v>
      </c>
      <c r="I31" s="182" t="str">
        <f t="shared" si="1"/>
        <v>-</v>
      </c>
      <c r="J31" s="332"/>
      <c r="K31" s="186">
        <f t="shared" si="2"/>
        <v>0</v>
      </c>
      <c r="L31" s="187" t="str">
        <f t="shared" si="3"/>
        <v>-</v>
      </c>
      <c r="M31" s="332"/>
    </row>
    <row r="32" spans="1:13" s="235" customFormat="1" x14ac:dyDescent="0.2">
      <c r="A32" s="237" t="s">
        <v>152</v>
      </c>
      <c r="B32" s="323" t="s">
        <v>19</v>
      </c>
      <c r="C32" s="213">
        <v>146533</v>
      </c>
      <c r="D32" s="212">
        <v>149910.64000000001</v>
      </c>
      <c r="E32" s="213">
        <v>146533</v>
      </c>
      <c r="F32" s="212">
        <v>149910.64000000001</v>
      </c>
      <c r="G32" s="558">
        <v>148992</v>
      </c>
      <c r="H32" s="189">
        <f t="shared" si="0"/>
        <v>-918.64000000001397</v>
      </c>
      <c r="I32" s="182">
        <f t="shared" si="1"/>
        <v>-6.1279172712491517E-3</v>
      </c>
      <c r="J32" s="644"/>
      <c r="K32" s="186">
        <f>G32-E32</f>
        <v>2459</v>
      </c>
      <c r="L32" s="187">
        <f t="shared" si="3"/>
        <v>1.6781202868978318E-2</v>
      </c>
      <c r="M32" s="333"/>
    </row>
    <row r="33" spans="1:13" s="238" customFormat="1" ht="47.25" x14ac:dyDescent="0.2">
      <c r="A33" s="239" t="s">
        <v>153</v>
      </c>
      <c r="B33" s="324" t="s">
        <v>331</v>
      </c>
      <c r="C33" s="214">
        <f>232443.07+11401.85</f>
        <v>243844.92</v>
      </c>
      <c r="D33" s="215">
        <v>270679.15999999997</v>
      </c>
      <c r="E33" s="214">
        <f>232443.07+11401.85</f>
        <v>243844.92</v>
      </c>
      <c r="F33" s="215">
        <v>270679.15999999997</v>
      </c>
      <c r="G33" s="559">
        <f>261415.2</f>
        <v>261415.2</v>
      </c>
      <c r="H33" s="189">
        <f t="shared" si="0"/>
        <v>-9263.9599999999627</v>
      </c>
      <c r="I33" s="182">
        <f t="shared" si="1"/>
        <v>-3.4224873462737081E-2</v>
      </c>
      <c r="J33" s="333"/>
      <c r="K33" s="240">
        <f t="shared" si="2"/>
        <v>17570.28</v>
      </c>
      <c r="L33" s="188">
        <f t="shared" si="3"/>
        <v>7.2055140619702057E-2</v>
      </c>
      <c r="M33" s="654" t="s">
        <v>695</v>
      </c>
    </row>
    <row r="34" spans="1:13" ht="47.25" x14ac:dyDescent="0.2">
      <c r="A34" s="233" t="s">
        <v>20</v>
      </c>
      <c r="B34" s="259" t="s">
        <v>341</v>
      </c>
      <c r="C34" s="191">
        <f>C35+C59+C150</f>
        <v>21184438.690000001</v>
      </c>
      <c r="D34" s="191">
        <v>22740448.660044245</v>
      </c>
      <c r="E34" s="191">
        <f>E35+E59+E150</f>
        <v>21184438.690000001</v>
      </c>
      <c r="F34" s="191">
        <v>22740448.660044245</v>
      </c>
      <c r="G34" s="553">
        <f>G35+G59+G150</f>
        <v>24038354.210000001</v>
      </c>
      <c r="H34" s="189">
        <f t="shared" si="0"/>
        <v>1297905.5499557555</v>
      </c>
      <c r="I34" s="182">
        <f t="shared" si="1"/>
        <v>5.7074755619761379E-2</v>
      </c>
      <c r="J34" s="331"/>
      <c r="K34" s="189">
        <f t="shared" si="2"/>
        <v>2853915.5199999996</v>
      </c>
      <c r="L34" s="182">
        <f t="shared" si="3"/>
        <v>0.13471754252083037</v>
      </c>
      <c r="M34" s="331"/>
    </row>
    <row r="35" spans="1:13" s="235" customFormat="1" x14ac:dyDescent="0.2">
      <c r="A35" s="233" t="s">
        <v>21</v>
      </c>
      <c r="B35" s="254" t="s">
        <v>22</v>
      </c>
      <c r="C35" s="366">
        <v>13350264</v>
      </c>
      <c r="D35" s="191">
        <v>13954841.394299997</v>
      </c>
      <c r="E35" s="366">
        <v>13350264</v>
      </c>
      <c r="F35" s="191">
        <v>13954841.394299997</v>
      </c>
      <c r="G35" s="553">
        <f>G36+G51</f>
        <v>14690726.540000001</v>
      </c>
      <c r="H35" s="189">
        <f t="shared" ref="H35:H66" si="7">G35-F35</f>
        <v>735885.14570000395</v>
      </c>
      <c r="I35" s="190">
        <f t="shared" ref="I35:I66" si="8">IFERROR(H35/ABS(F35), "-")</f>
        <v>5.2733322071333896E-2</v>
      </c>
      <c r="J35" s="331"/>
      <c r="K35" s="189">
        <f t="shared" ref="K35:K66" si="9">G35-E35</f>
        <v>1340462.540000001</v>
      </c>
      <c r="L35" s="190">
        <f t="shared" ref="L35:L66" si="10">IFERROR(K35/ABS(E35), "-")</f>
        <v>0.10040719344576264</v>
      </c>
      <c r="M35" s="331"/>
    </row>
    <row r="36" spans="1:13" s="235" customFormat="1" x14ac:dyDescent="0.2">
      <c r="A36" s="233">
        <v>1100</v>
      </c>
      <c r="B36" s="325" t="s">
        <v>23</v>
      </c>
      <c r="C36" s="366">
        <v>10765796</v>
      </c>
      <c r="D36" s="191">
        <v>11240563.328</v>
      </c>
      <c r="E36" s="366">
        <v>10765796</v>
      </c>
      <c r="F36" s="191">
        <v>11240563.328</v>
      </c>
      <c r="G36" s="553">
        <f>G37+G40+G49+G50</f>
        <v>11723439.600000001</v>
      </c>
      <c r="H36" s="189">
        <f t="shared" si="7"/>
        <v>482876.27200000174</v>
      </c>
      <c r="I36" s="190">
        <f t="shared" si="8"/>
        <v>4.2958369425949265E-2</v>
      </c>
      <c r="J36" s="334"/>
      <c r="K36" s="189">
        <f t="shared" si="9"/>
        <v>957643.60000000149</v>
      </c>
      <c r="L36" s="190">
        <f t="shared" si="10"/>
        <v>8.8952419310193279E-2</v>
      </c>
      <c r="M36" s="334"/>
    </row>
    <row r="37" spans="1:13" ht="29.25" customHeight="1" x14ac:dyDescent="0.2">
      <c r="A37" s="241">
        <v>1110</v>
      </c>
      <c r="B37" s="326" t="s">
        <v>24</v>
      </c>
      <c r="C37" s="365">
        <v>8019091</v>
      </c>
      <c r="D37" s="192">
        <v>8345489.7300000004</v>
      </c>
      <c r="E37" s="365">
        <v>8019091</v>
      </c>
      <c r="F37" s="192">
        <v>8345489.7300000004</v>
      </c>
      <c r="G37" s="645">
        <f t="shared" ref="G37" si="11">G38+G39</f>
        <v>8471096.2400000002</v>
      </c>
      <c r="H37" s="189">
        <f t="shared" si="7"/>
        <v>125606.50999999978</v>
      </c>
      <c r="I37" s="190">
        <f t="shared" si="8"/>
        <v>1.5050825543344089E-2</v>
      </c>
      <c r="J37" s="389"/>
      <c r="K37" s="193">
        <f t="shared" si="9"/>
        <v>452005.24000000022</v>
      </c>
      <c r="L37" s="194">
        <f t="shared" si="10"/>
        <v>5.636614424253325E-2</v>
      </c>
      <c r="M37" s="777" t="s">
        <v>818</v>
      </c>
    </row>
    <row r="38" spans="1:13" ht="29.25" customHeight="1" x14ac:dyDescent="0.2">
      <c r="A38" s="242">
        <v>1111</v>
      </c>
      <c r="B38" s="258" t="s">
        <v>325</v>
      </c>
      <c r="C38" s="365">
        <v>108478</v>
      </c>
      <c r="D38" s="202">
        <v>130152</v>
      </c>
      <c r="E38" s="365">
        <v>108478</v>
      </c>
      <c r="F38" s="202">
        <v>130152</v>
      </c>
      <c r="G38" s="554"/>
      <c r="H38" s="189">
        <f t="shared" si="7"/>
        <v>-130152</v>
      </c>
      <c r="I38" s="190">
        <f t="shared" si="8"/>
        <v>-1</v>
      </c>
      <c r="J38" s="652" t="s">
        <v>791</v>
      </c>
      <c r="K38" s="183">
        <f t="shared" si="9"/>
        <v>-108478</v>
      </c>
      <c r="L38" s="194">
        <f t="shared" si="10"/>
        <v>-1</v>
      </c>
      <c r="M38" s="777"/>
    </row>
    <row r="39" spans="1:13" ht="63" customHeight="1" x14ac:dyDescent="0.2">
      <c r="A39" s="242">
        <v>1112</v>
      </c>
      <c r="B39" s="258" t="s">
        <v>326</v>
      </c>
      <c r="C39" s="365">
        <v>7910613</v>
      </c>
      <c r="D39" s="202">
        <v>8215337.7300000004</v>
      </c>
      <c r="E39" s="365">
        <v>7910613</v>
      </c>
      <c r="F39" s="202">
        <v>8215337.7300000004</v>
      </c>
      <c r="G39" s="646">
        <v>8471096.2400000002</v>
      </c>
      <c r="H39" s="189">
        <f t="shared" si="7"/>
        <v>255758.50999999978</v>
      </c>
      <c r="I39" s="190">
        <f t="shared" si="8"/>
        <v>3.1131831509013295E-2</v>
      </c>
      <c r="J39" s="389"/>
      <c r="K39" s="183">
        <f t="shared" si="9"/>
        <v>560483.24000000022</v>
      </c>
      <c r="L39" s="194">
        <f t="shared" si="10"/>
        <v>7.0852061654387621E-2</v>
      </c>
      <c r="M39" s="777"/>
    </row>
    <row r="40" spans="1:13" s="235" customFormat="1" ht="33" customHeight="1" x14ac:dyDescent="0.2">
      <c r="A40" s="233">
        <v>1140</v>
      </c>
      <c r="B40" s="247" t="s">
        <v>154</v>
      </c>
      <c r="C40" s="366">
        <v>2685825</v>
      </c>
      <c r="D40" s="191">
        <v>2831272.1979999999</v>
      </c>
      <c r="E40" s="366">
        <v>2685825</v>
      </c>
      <c r="F40" s="191">
        <v>2831272.1979999999</v>
      </c>
      <c r="G40" s="553">
        <f>G41+G42+G43+G44+G45+G46+G47+G48</f>
        <v>3223578.48</v>
      </c>
      <c r="H40" s="189">
        <f t="shared" si="7"/>
        <v>392306.28200000012</v>
      </c>
      <c r="I40" s="190">
        <f t="shared" si="8"/>
        <v>0.13856183883595644</v>
      </c>
      <c r="J40" s="757" t="s">
        <v>792</v>
      </c>
      <c r="K40" s="189">
        <f t="shared" si="9"/>
        <v>537753.48</v>
      </c>
      <c r="L40" s="190">
        <f t="shared" si="10"/>
        <v>0.20021910586132752</v>
      </c>
      <c r="M40" s="772" t="s">
        <v>819</v>
      </c>
    </row>
    <row r="41" spans="1:13" s="235" customFormat="1" x14ac:dyDescent="0.2">
      <c r="A41" s="242">
        <v>1141</v>
      </c>
      <c r="B41" s="248" t="s">
        <v>147</v>
      </c>
      <c r="C41" s="365">
        <v>501487</v>
      </c>
      <c r="D41" s="202">
        <v>520626.41800000001</v>
      </c>
      <c r="E41" s="365">
        <v>501487</v>
      </c>
      <c r="F41" s="202">
        <v>520626.41800000001</v>
      </c>
      <c r="G41" s="555">
        <v>534408.93999999994</v>
      </c>
      <c r="H41" s="189">
        <f t="shared" si="7"/>
        <v>13782.521999999939</v>
      </c>
      <c r="I41" s="190">
        <f t="shared" si="8"/>
        <v>2.6472959349519484E-2</v>
      </c>
      <c r="J41" s="758"/>
      <c r="K41" s="183">
        <f t="shared" si="9"/>
        <v>32921.939999999944</v>
      </c>
      <c r="L41" s="194">
        <f t="shared" si="10"/>
        <v>6.5648640941838865E-2</v>
      </c>
      <c r="M41" s="773"/>
    </row>
    <row r="42" spans="1:13" s="235" customFormat="1" ht="31.5" x14ac:dyDescent="0.2">
      <c r="A42" s="242">
        <v>1142</v>
      </c>
      <c r="B42" s="248" t="s">
        <v>25</v>
      </c>
      <c r="C42" s="365">
        <v>640337</v>
      </c>
      <c r="D42" s="202">
        <v>663421.05000000005</v>
      </c>
      <c r="E42" s="365">
        <v>640337</v>
      </c>
      <c r="F42" s="202">
        <v>663421.05000000005</v>
      </c>
      <c r="G42" s="555">
        <v>706860.35</v>
      </c>
      <c r="H42" s="189">
        <f t="shared" si="7"/>
        <v>43439.29999999993</v>
      </c>
      <c r="I42" s="190">
        <f t="shared" si="8"/>
        <v>6.5477723385472808E-2</v>
      </c>
      <c r="J42" s="758"/>
      <c r="K42" s="183">
        <f t="shared" si="9"/>
        <v>66523.349999999977</v>
      </c>
      <c r="L42" s="194">
        <f t="shared" si="10"/>
        <v>0.10388803083376406</v>
      </c>
      <c r="M42" s="773"/>
    </row>
    <row r="43" spans="1:13" s="235" customFormat="1" x14ac:dyDescent="0.2">
      <c r="A43" s="242">
        <v>1144</v>
      </c>
      <c r="B43" s="248" t="s">
        <v>26</v>
      </c>
      <c r="C43" s="365">
        <v>0</v>
      </c>
      <c r="D43" s="202">
        <v>0</v>
      </c>
      <c r="E43" s="365">
        <v>0</v>
      </c>
      <c r="F43" s="202">
        <v>0</v>
      </c>
      <c r="G43" s="555"/>
      <c r="H43" s="189">
        <f t="shared" si="7"/>
        <v>0</v>
      </c>
      <c r="I43" s="190" t="str">
        <f t="shared" si="8"/>
        <v>-</v>
      </c>
      <c r="J43" s="758"/>
      <c r="K43" s="183">
        <f t="shared" si="9"/>
        <v>0</v>
      </c>
      <c r="L43" s="194" t="str">
        <f t="shared" si="10"/>
        <v>-</v>
      </c>
      <c r="M43" s="773"/>
    </row>
    <row r="44" spans="1:13" s="235" customFormat="1" ht="31.5" x14ac:dyDescent="0.2">
      <c r="A44" s="242">
        <v>1145</v>
      </c>
      <c r="B44" s="248" t="s">
        <v>155</v>
      </c>
      <c r="C44" s="365">
        <v>1216624</v>
      </c>
      <c r="D44" s="202">
        <v>1317980.8299999998</v>
      </c>
      <c r="E44" s="365">
        <v>1216624</v>
      </c>
      <c r="F44" s="202">
        <v>1317980.8299999998</v>
      </c>
      <c r="G44" s="555">
        <v>1540470.42</v>
      </c>
      <c r="H44" s="189">
        <f t="shared" si="7"/>
        <v>222489.59000000008</v>
      </c>
      <c r="I44" s="190">
        <f t="shared" si="8"/>
        <v>0.1688109454520671</v>
      </c>
      <c r="J44" s="758"/>
      <c r="K44" s="183">
        <f t="shared" si="9"/>
        <v>323846.41999999993</v>
      </c>
      <c r="L44" s="194">
        <f t="shared" si="10"/>
        <v>0.26618447441444515</v>
      </c>
      <c r="M44" s="773"/>
    </row>
    <row r="45" spans="1:13" s="235" customFormat="1" ht="31.5" x14ac:dyDescent="0.2">
      <c r="A45" s="242">
        <v>1146</v>
      </c>
      <c r="B45" s="248" t="s">
        <v>27</v>
      </c>
      <c r="C45" s="365">
        <v>67937</v>
      </c>
      <c r="D45" s="202">
        <v>70403.95</v>
      </c>
      <c r="E45" s="365">
        <v>67937</v>
      </c>
      <c r="F45" s="202">
        <v>70403.95</v>
      </c>
      <c r="G45" s="555">
        <v>63592.1</v>
      </c>
      <c r="H45" s="189">
        <f t="shared" si="7"/>
        <v>-6811.8499999999985</v>
      </c>
      <c r="I45" s="190">
        <f t="shared" si="8"/>
        <v>-9.6753804296491872E-2</v>
      </c>
      <c r="J45" s="758"/>
      <c r="K45" s="183">
        <f t="shared" si="9"/>
        <v>-4344.9000000000015</v>
      </c>
      <c r="L45" s="194">
        <f t="shared" si="10"/>
        <v>-6.3954840514005643E-2</v>
      </c>
      <c r="M45" s="773"/>
    </row>
    <row r="46" spans="1:13" s="235" customFormat="1" x14ac:dyDescent="0.2">
      <c r="A46" s="242">
        <v>1147</v>
      </c>
      <c r="B46" s="248" t="s">
        <v>28</v>
      </c>
      <c r="C46" s="365">
        <v>79856</v>
      </c>
      <c r="D46" s="202">
        <v>80902.52</v>
      </c>
      <c r="E46" s="365">
        <v>79856</v>
      </c>
      <c r="F46" s="202">
        <v>80902.52</v>
      </c>
      <c r="G46" s="554">
        <v>73910.11</v>
      </c>
      <c r="H46" s="189">
        <f t="shared" si="7"/>
        <v>-6992.4100000000035</v>
      </c>
      <c r="I46" s="190">
        <f t="shared" si="8"/>
        <v>-8.6430064230384948E-2</v>
      </c>
      <c r="J46" s="758"/>
      <c r="K46" s="183">
        <f t="shared" si="9"/>
        <v>-5945.8899999999994</v>
      </c>
      <c r="L46" s="194">
        <f t="shared" si="10"/>
        <v>-7.4457648767782006E-2</v>
      </c>
      <c r="M46" s="773"/>
    </row>
    <row r="47" spans="1:13" s="235" customFormat="1" x14ac:dyDescent="0.2">
      <c r="A47" s="242">
        <v>1148</v>
      </c>
      <c r="B47" s="248" t="s">
        <v>156</v>
      </c>
      <c r="C47" s="365">
        <v>54714</v>
      </c>
      <c r="D47" s="202">
        <v>57651.759999999995</v>
      </c>
      <c r="E47" s="365">
        <v>54714</v>
      </c>
      <c r="F47" s="202">
        <v>57651.759999999995</v>
      </c>
      <c r="G47" s="554">
        <v>165806.26999999999</v>
      </c>
      <c r="H47" s="189">
        <f t="shared" si="7"/>
        <v>108154.51</v>
      </c>
      <c r="I47" s="190">
        <f t="shared" si="8"/>
        <v>1.8759966738222738</v>
      </c>
      <c r="J47" s="758"/>
      <c r="K47" s="183">
        <f t="shared" si="9"/>
        <v>111092.26999999999</v>
      </c>
      <c r="L47" s="194">
        <f t="shared" si="10"/>
        <v>2.0304176262017033</v>
      </c>
      <c r="M47" s="773"/>
    </row>
    <row r="48" spans="1:13" s="235" customFormat="1" ht="163.5" customHeight="1" x14ac:dyDescent="0.2">
      <c r="A48" s="242">
        <v>1149</v>
      </c>
      <c r="B48" s="248" t="s">
        <v>29</v>
      </c>
      <c r="C48" s="365">
        <v>124870</v>
      </c>
      <c r="D48" s="211">
        <v>120285.66999999998</v>
      </c>
      <c r="E48" s="365">
        <v>124870</v>
      </c>
      <c r="F48" s="211">
        <v>120285.66999999998</v>
      </c>
      <c r="G48" s="555">
        <v>138530.29</v>
      </c>
      <c r="H48" s="189">
        <f t="shared" si="7"/>
        <v>18244.620000000024</v>
      </c>
      <c r="I48" s="190">
        <f t="shared" si="8"/>
        <v>0.15167741926365816</v>
      </c>
      <c r="J48" s="759"/>
      <c r="K48" s="195">
        <f t="shared" si="9"/>
        <v>13660.290000000008</v>
      </c>
      <c r="L48" s="196">
        <f t="shared" si="10"/>
        <v>0.1093960919356131</v>
      </c>
      <c r="M48" s="774"/>
    </row>
    <row r="49" spans="1:13" s="235" customFormat="1" ht="220.5" customHeight="1" x14ac:dyDescent="0.2">
      <c r="A49" s="241">
        <v>1150</v>
      </c>
      <c r="B49" s="252" t="s">
        <v>30</v>
      </c>
      <c r="C49" s="365">
        <v>60880</v>
      </c>
      <c r="D49" s="202">
        <v>63801.399999999994</v>
      </c>
      <c r="E49" s="365">
        <v>60880</v>
      </c>
      <c r="F49" s="202">
        <v>63801.399999999994</v>
      </c>
      <c r="G49" s="561">
        <v>28764.880000000001</v>
      </c>
      <c r="H49" s="189">
        <f t="shared" si="7"/>
        <v>-35036.51999999999</v>
      </c>
      <c r="I49" s="190">
        <f t="shared" si="8"/>
        <v>-0.54914970517888306</v>
      </c>
      <c r="J49" s="654" t="s">
        <v>793</v>
      </c>
      <c r="K49" s="183">
        <f t="shared" si="9"/>
        <v>-32115.119999999999</v>
      </c>
      <c r="L49" s="194">
        <f t="shared" si="10"/>
        <v>-0.52751511169513798</v>
      </c>
      <c r="M49" s="654" t="s">
        <v>820</v>
      </c>
    </row>
    <row r="50" spans="1:13" s="235" customFormat="1" ht="31.5" x14ac:dyDescent="0.2">
      <c r="A50" s="241">
        <v>1170</v>
      </c>
      <c r="B50" s="252" t="s">
        <v>31</v>
      </c>
      <c r="C50" s="367">
        <v>0</v>
      </c>
      <c r="D50" s="212">
        <v>0</v>
      </c>
      <c r="E50" s="367">
        <v>0</v>
      </c>
      <c r="F50" s="212">
        <v>0</v>
      </c>
      <c r="G50" s="557"/>
      <c r="H50" s="189">
        <f t="shared" si="7"/>
        <v>0</v>
      </c>
      <c r="I50" s="190" t="str">
        <f t="shared" si="8"/>
        <v>-</v>
      </c>
      <c r="J50" s="656"/>
      <c r="K50" s="186">
        <f t="shared" si="9"/>
        <v>0</v>
      </c>
      <c r="L50" s="197" t="str">
        <f t="shared" si="10"/>
        <v>-</v>
      </c>
      <c r="M50" s="656"/>
    </row>
    <row r="51" spans="1:13" s="235" customFormat="1" ht="63" x14ac:dyDescent="0.2">
      <c r="A51" s="233">
        <v>1200</v>
      </c>
      <c r="B51" s="247" t="s">
        <v>32</v>
      </c>
      <c r="C51" s="366">
        <v>2584468</v>
      </c>
      <c r="D51" s="191">
        <v>2714278.0663000001</v>
      </c>
      <c r="E51" s="366">
        <v>2584468</v>
      </c>
      <c r="F51" s="191">
        <v>2714278.0663000001</v>
      </c>
      <c r="G51" s="553">
        <f>G52+G53</f>
        <v>2967286.94</v>
      </c>
      <c r="H51" s="189">
        <f t="shared" si="7"/>
        <v>253008.87369999988</v>
      </c>
      <c r="I51" s="190">
        <f>IFERROR(H51/ABS(F51), "-")</f>
        <v>9.3214058220973617E-2</v>
      </c>
      <c r="J51" s="331"/>
      <c r="K51" s="189">
        <f t="shared" si="9"/>
        <v>382818.93999999994</v>
      </c>
      <c r="L51" s="190">
        <f t="shared" si="10"/>
        <v>0.14812291736635932</v>
      </c>
      <c r="M51" s="331"/>
    </row>
    <row r="52" spans="1:13" s="235" customFormat="1" ht="78.75" x14ac:dyDescent="0.2">
      <c r="A52" s="241">
        <v>1210</v>
      </c>
      <c r="B52" s="252" t="s">
        <v>33</v>
      </c>
      <c r="C52" s="367">
        <v>2481841</v>
      </c>
      <c r="D52" s="212">
        <v>2596419.5236399993</v>
      </c>
      <c r="E52" s="367">
        <v>2481841</v>
      </c>
      <c r="F52" s="212">
        <v>2596419.5236399993</v>
      </c>
      <c r="G52" s="557">
        <v>2778363.38</v>
      </c>
      <c r="H52" s="189">
        <f t="shared" si="7"/>
        <v>181943.85636000056</v>
      </c>
      <c r="I52" s="190">
        <f t="shared" si="8"/>
        <v>7.0074906887515595E-2</v>
      </c>
      <c r="J52" s="657" t="s">
        <v>794</v>
      </c>
      <c r="K52" s="186">
        <f t="shared" si="9"/>
        <v>296522.37999999989</v>
      </c>
      <c r="L52" s="197">
        <f t="shared" si="10"/>
        <v>0.11947678356510344</v>
      </c>
      <c r="M52" s="657" t="s">
        <v>821</v>
      </c>
    </row>
    <row r="53" spans="1:13" s="235" customFormat="1" ht="47.25" customHeight="1" x14ac:dyDescent="0.2">
      <c r="A53" s="244">
        <v>1220</v>
      </c>
      <c r="B53" s="327" t="s">
        <v>34</v>
      </c>
      <c r="C53" s="368">
        <v>102628</v>
      </c>
      <c r="D53" s="198">
        <v>117858.54266000001</v>
      </c>
      <c r="E53" s="368">
        <v>102628</v>
      </c>
      <c r="F53" s="198">
        <v>117858.54266000001</v>
      </c>
      <c r="G53" s="562">
        <f>G54+G55+G56+G57+G58</f>
        <v>188923.56</v>
      </c>
      <c r="H53" s="189">
        <f t="shared" si="7"/>
        <v>71065.017339999991</v>
      </c>
      <c r="I53" s="190">
        <f>IFERROR(H53/ABS(F53), "-")</f>
        <v>0.60296874317383475</v>
      </c>
      <c r="J53" s="757" t="s">
        <v>795</v>
      </c>
      <c r="K53" s="199">
        <f t="shared" si="9"/>
        <v>86295.56</v>
      </c>
      <c r="L53" s="200">
        <f t="shared" si="10"/>
        <v>0.84085785555598858</v>
      </c>
      <c r="M53" s="757" t="s">
        <v>822</v>
      </c>
    </row>
    <row r="54" spans="1:13" s="235" customFormat="1" ht="63" x14ac:dyDescent="0.2">
      <c r="A54" s="242">
        <v>1221</v>
      </c>
      <c r="B54" s="248" t="s">
        <v>35</v>
      </c>
      <c r="C54" s="365">
        <v>102468</v>
      </c>
      <c r="D54" s="202">
        <v>117698.54265999999</v>
      </c>
      <c r="E54" s="365">
        <v>102468</v>
      </c>
      <c r="F54" s="202">
        <v>117698.54265999999</v>
      </c>
      <c r="G54" s="555">
        <v>188803.56</v>
      </c>
      <c r="H54" s="189">
        <f t="shared" si="7"/>
        <v>71105.017340000006</v>
      </c>
      <c r="I54" s="190">
        <f t="shared" si="8"/>
        <v>0.60412827323957297</v>
      </c>
      <c r="J54" s="758"/>
      <c r="K54" s="183">
        <f t="shared" si="9"/>
        <v>86335.56</v>
      </c>
      <c r="L54" s="194">
        <f t="shared" si="10"/>
        <v>0.84256118983487527</v>
      </c>
      <c r="M54" s="758"/>
    </row>
    <row r="55" spans="1:13" s="235" customFormat="1" ht="31.5" x14ac:dyDescent="0.2">
      <c r="A55" s="242">
        <v>1222</v>
      </c>
      <c r="B55" s="248" t="s">
        <v>36</v>
      </c>
      <c r="C55" s="365">
        <v>160</v>
      </c>
      <c r="D55" s="202">
        <v>0</v>
      </c>
      <c r="E55" s="365">
        <v>160</v>
      </c>
      <c r="F55" s="202">
        <v>0</v>
      </c>
      <c r="G55" s="555"/>
      <c r="H55" s="189">
        <f t="shared" si="7"/>
        <v>0</v>
      </c>
      <c r="I55" s="190" t="str">
        <f t="shared" si="8"/>
        <v>-</v>
      </c>
      <c r="J55" s="758"/>
      <c r="K55" s="183">
        <f t="shared" si="9"/>
        <v>-160</v>
      </c>
      <c r="L55" s="194">
        <f t="shared" si="10"/>
        <v>-1</v>
      </c>
      <c r="M55" s="758"/>
    </row>
    <row r="56" spans="1:13" s="235" customFormat="1" x14ac:dyDescent="0.2">
      <c r="A56" s="242">
        <v>1223</v>
      </c>
      <c r="B56" s="248" t="s">
        <v>37</v>
      </c>
      <c r="C56" s="202"/>
      <c r="D56" s="202">
        <v>0</v>
      </c>
      <c r="E56" s="202"/>
      <c r="F56" s="202">
        <v>0</v>
      </c>
      <c r="G56" s="555"/>
      <c r="H56" s="189">
        <f t="shared" si="7"/>
        <v>0</v>
      </c>
      <c r="I56" s="190" t="str">
        <f t="shared" si="8"/>
        <v>-</v>
      </c>
      <c r="J56" s="758"/>
      <c r="K56" s="183">
        <f t="shared" si="9"/>
        <v>0</v>
      </c>
      <c r="L56" s="194" t="str">
        <f t="shared" si="10"/>
        <v>-</v>
      </c>
      <c r="M56" s="758"/>
    </row>
    <row r="57" spans="1:13" s="235" customFormat="1" ht="31.5" x14ac:dyDescent="0.2">
      <c r="A57" s="242">
        <v>1227</v>
      </c>
      <c r="B57" s="248" t="s">
        <v>38</v>
      </c>
      <c r="C57" s="202"/>
      <c r="D57" s="202">
        <v>0</v>
      </c>
      <c r="E57" s="202"/>
      <c r="F57" s="202">
        <v>0</v>
      </c>
      <c r="G57" s="555"/>
      <c r="H57" s="189">
        <f t="shared" si="7"/>
        <v>0</v>
      </c>
      <c r="I57" s="190" t="str">
        <f t="shared" si="8"/>
        <v>-</v>
      </c>
      <c r="J57" s="758"/>
      <c r="K57" s="183">
        <f t="shared" si="9"/>
        <v>0</v>
      </c>
      <c r="L57" s="194" t="str">
        <f t="shared" si="10"/>
        <v>-</v>
      </c>
      <c r="M57" s="758"/>
    </row>
    <row r="58" spans="1:13" s="235" customFormat="1" ht="63" x14ac:dyDescent="0.2">
      <c r="A58" s="242">
        <v>1228</v>
      </c>
      <c r="B58" s="248" t="s">
        <v>330</v>
      </c>
      <c r="C58" s="202">
        <v>120</v>
      </c>
      <c r="D58" s="202">
        <v>160</v>
      </c>
      <c r="E58" s="202">
        <v>120</v>
      </c>
      <c r="F58" s="202">
        <v>160</v>
      </c>
      <c r="G58" s="555">
        <v>120</v>
      </c>
      <c r="H58" s="189">
        <f t="shared" si="7"/>
        <v>-40</v>
      </c>
      <c r="I58" s="190">
        <f t="shared" si="8"/>
        <v>-0.25</v>
      </c>
      <c r="J58" s="759"/>
      <c r="K58" s="183">
        <f t="shared" si="9"/>
        <v>0</v>
      </c>
      <c r="L58" s="194">
        <f t="shared" si="10"/>
        <v>0</v>
      </c>
      <c r="M58" s="759"/>
    </row>
    <row r="59" spans="1:13" s="235" customFormat="1" x14ac:dyDescent="0.2">
      <c r="A59" s="233">
        <v>2000</v>
      </c>
      <c r="B59" s="254" t="s">
        <v>39</v>
      </c>
      <c r="C59" s="191">
        <f>C60+C67+C103+C139+C149</f>
        <v>7834174.6900000004</v>
      </c>
      <c r="D59" s="191">
        <v>8785607.2657442428</v>
      </c>
      <c r="E59" s="191">
        <f>E60+E67+E103+E139+E149</f>
        <v>7834174.6900000004</v>
      </c>
      <c r="F59" s="191">
        <v>8785607.2657442428</v>
      </c>
      <c r="G59" s="553">
        <f>G60+G67+G103+G139+G149</f>
        <v>9347627.6699999999</v>
      </c>
      <c r="H59" s="189">
        <f t="shared" si="7"/>
        <v>562020.40425575711</v>
      </c>
      <c r="I59" s="182">
        <f t="shared" si="8"/>
        <v>6.397058134468607E-2</v>
      </c>
      <c r="J59" s="331"/>
      <c r="K59" s="189">
        <f t="shared" si="9"/>
        <v>1513452.9799999995</v>
      </c>
      <c r="L59" s="182">
        <f t="shared" si="10"/>
        <v>0.1931860138288542</v>
      </c>
      <c r="M59" s="331"/>
    </row>
    <row r="60" spans="1:13" s="235" customFormat="1" ht="31.5" x14ac:dyDescent="0.2">
      <c r="A60" s="233">
        <v>2100</v>
      </c>
      <c r="B60" s="254" t="s">
        <v>157</v>
      </c>
      <c r="C60" s="191">
        <f t="shared" ref="C60:E60" si="12">C61+C64</f>
        <v>278.26</v>
      </c>
      <c r="D60" s="191">
        <v>1278.26</v>
      </c>
      <c r="E60" s="191">
        <f t="shared" si="12"/>
        <v>278.26</v>
      </c>
      <c r="F60" s="191">
        <v>1278.26</v>
      </c>
      <c r="G60" s="553">
        <f t="shared" ref="G60" si="13">G61+G64</f>
        <v>8546.73</v>
      </c>
      <c r="H60" s="189">
        <f t="shared" si="7"/>
        <v>7268.4699999999993</v>
      </c>
      <c r="I60" s="182">
        <f t="shared" si="8"/>
        <v>5.6862218953890444</v>
      </c>
      <c r="J60" s="331"/>
      <c r="K60" s="189">
        <f t="shared" si="9"/>
        <v>8268.4699999999993</v>
      </c>
      <c r="L60" s="182">
        <f t="shared" si="10"/>
        <v>29.714906921584127</v>
      </c>
      <c r="M60" s="331"/>
    </row>
    <row r="61" spans="1:13" s="235" customFormat="1" ht="15.75" customHeight="1" x14ac:dyDescent="0.2">
      <c r="A61" s="245">
        <v>2110</v>
      </c>
      <c r="B61" s="254" t="s">
        <v>40</v>
      </c>
      <c r="C61" s="191">
        <f t="shared" ref="C61:E61" si="14">SUM(C62:C63)</f>
        <v>8.26</v>
      </c>
      <c r="D61" s="191">
        <v>8.26</v>
      </c>
      <c r="E61" s="191">
        <f t="shared" si="14"/>
        <v>8.26</v>
      </c>
      <c r="F61" s="191">
        <v>8.26</v>
      </c>
      <c r="G61" s="553">
        <f t="shared" ref="G61" si="15">SUM(G62:G63)</f>
        <v>17.91</v>
      </c>
      <c r="H61" s="189">
        <f t="shared" si="7"/>
        <v>9.65</v>
      </c>
      <c r="I61" s="182">
        <f t="shared" si="8"/>
        <v>1.1682808716707023</v>
      </c>
      <c r="J61" s="757" t="s">
        <v>796</v>
      </c>
      <c r="K61" s="189">
        <f t="shared" si="9"/>
        <v>9.65</v>
      </c>
      <c r="L61" s="182">
        <f t="shared" si="10"/>
        <v>1.1682808716707023</v>
      </c>
      <c r="M61" s="757" t="s">
        <v>823</v>
      </c>
    </row>
    <row r="62" spans="1:13" s="235" customFormat="1" x14ac:dyDescent="0.2">
      <c r="A62" s="242">
        <v>2111</v>
      </c>
      <c r="B62" s="266" t="s">
        <v>41</v>
      </c>
      <c r="C62" s="202">
        <v>0</v>
      </c>
      <c r="D62" s="202">
        <v>0</v>
      </c>
      <c r="E62" s="202">
        <v>0</v>
      </c>
      <c r="F62" s="202">
        <v>0</v>
      </c>
      <c r="G62" s="555">
        <v>0</v>
      </c>
      <c r="H62" s="189">
        <f t="shared" si="7"/>
        <v>0</v>
      </c>
      <c r="I62" s="182" t="str">
        <f t="shared" si="8"/>
        <v>-</v>
      </c>
      <c r="J62" s="758"/>
      <c r="K62" s="183">
        <f t="shared" si="9"/>
        <v>0</v>
      </c>
      <c r="L62" s="184" t="str">
        <f t="shared" si="10"/>
        <v>-</v>
      </c>
      <c r="M62" s="758"/>
    </row>
    <row r="63" spans="1:13" s="246" customFormat="1" ht="77.25" customHeight="1" x14ac:dyDescent="0.2">
      <c r="A63" s="242">
        <v>2112</v>
      </c>
      <c r="B63" s="266" t="s">
        <v>417</v>
      </c>
      <c r="C63" s="202">
        <v>8.26</v>
      </c>
      <c r="D63" s="202">
        <v>8.26</v>
      </c>
      <c r="E63" s="202">
        <v>8.26</v>
      </c>
      <c r="F63" s="202">
        <v>8.26</v>
      </c>
      <c r="G63" s="555">
        <v>17.91</v>
      </c>
      <c r="H63" s="189">
        <f t="shared" si="7"/>
        <v>9.65</v>
      </c>
      <c r="I63" s="182">
        <f t="shared" si="8"/>
        <v>1.1682808716707023</v>
      </c>
      <c r="J63" s="759"/>
      <c r="K63" s="183">
        <f t="shared" si="9"/>
        <v>9.65</v>
      </c>
      <c r="L63" s="184">
        <f t="shared" si="10"/>
        <v>1.1682808716707023</v>
      </c>
      <c r="M63" s="759"/>
    </row>
    <row r="64" spans="1:13" s="235" customFormat="1" ht="31.5" customHeight="1" x14ac:dyDescent="0.2">
      <c r="A64" s="245">
        <v>2120</v>
      </c>
      <c r="B64" s="254" t="s">
        <v>42</v>
      </c>
      <c r="C64" s="191">
        <f t="shared" ref="C64:E64" si="16">SUM(C65:C66)</f>
        <v>270</v>
      </c>
      <c r="D64" s="191">
        <v>1270</v>
      </c>
      <c r="E64" s="191">
        <f t="shared" si="16"/>
        <v>270</v>
      </c>
      <c r="F64" s="191">
        <v>1270</v>
      </c>
      <c r="G64" s="553">
        <f>SUM(G65:G66)</f>
        <v>8528.82</v>
      </c>
      <c r="H64" s="189">
        <f t="shared" si="7"/>
        <v>7258.82</v>
      </c>
      <c r="I64" s="182">
        <f t="shared" si="8"/>
        <v>5.715606299212598</v>
      </c>
      <c r="J64" s="757" t="s">
        <v>797</v>
      </c>
      <c r="K64" s="189">
        <f t="shared" si="9"/>
        <v>8258.82</v>
      </c>
      <c r="L64" s="182">
        <f t="shared" si="10"/>
        <v>30.588222222222221</v>
      </c>
      <c r="M64" s="757" t="s">
        <v>824</v>
      </c>
    </row>
    <row r="65" spans="1:13" s="235" customFormat="1" x14ac:dyDescent="0.2">
      <c r="A65" s="242">
        <v>2121</v>
      </c>
      <c r="B65" s="266" t="s">
        <v>41</v>
      </c>
      <c r="C65" s="202">
        <v>0</v>
      </c>
      <c r="D65" s="202">
        <v>0</v>
      </c>
      <c r="E65" s="202">
        <v>0</v>
      </c>
      <c r="F65" s="202">
        <v>0</v>
      </c>
      <c r="G65" s="555">
        <v>0</v>
      </c>
      <c r="H65" s="189">
        <f t="shared" si="7"/>
        <v>0</v>
      </c>
      <c r="I65" s="182" t="str">
        <f t="shared" si="8"/>
        <v>-</v>
      </c>
      <c r="J65" s="758"/>
      <c r="K65" s="183">
        <f t="shared" si="9"/>
        <v>0</v>
      </c>
      <c r="L65" s="184" t="str">
        <f t="shared" si="10"/>
        <v>-</v>
      </c>
      <c r="M65" s="758"/>
    </row>
    <row r="66" spans="1:13" s="246" customFormat="1" ht="192" customHeight="1" x14ac:dyDescent="0.2">
      <c r="A66" s="242">
        <v>2122</v>
      </c>
      <c r="B66" s="266" t="s">
        <v>417</v>
      </c>
      <c r="C66" s="202">
        <v>270</v>
      </c>
      <c r="D66" s="202">
        <v>1270</v>
      </c>
      <c r="E66" s="202">
        <v>270</v>
      </c>
      <c r="F66" s="202">
        <v>1270</v>
      </c>
      <c r="G66" s="555">
        <v>8528.82</v>
      </c>
      <c r="H66" s="189">
        <f t="shared" si="7"/>
        <v>7258.82</v>
      </c>
      <c r="I66" s="182">
        <f t="shared" si="8"/>
        <v>5.715606299212598</v>
      </c>
      <c r="J66" s="759"/>
      <c r="K66" s="183">
        <f t="shared" si="9"/>
        <v>8258.82</v>
      </c>
      <c r="L66" s="184">
        <f t="shared" si="10"/>
        <v>30.588222222222221</v>
      </c>
      <c r="M66" s="759"/>
    </row>
    <row r="67" spans="1:13" s="235" customFormat="1" x14ac:dyDescent="0.2">
      <c r="A67" s="233">
        <v>2200</v>
      </c>
      <c r="B67" s="247" t="s">
        <v>43</v>
      </c>
      <c r="C67" s="191">
        <f>C68+C69+C75+C83+C90+C91+C97+C102</f>
        <v>1672971.8299999998</v>
      </c>
      <c r="D67" s="191">
        <v>2263200.2084319997</v>
      </c>
      <c r="E67" s="191">
        <f>E68+E69+E75+E83+E90+E91+E97+E102</f>
        <v>1672971.8299999998</v>
      </c>
      <c r="F67" s="191">
        <v>2263200.2084319997</v>
      </c>
      <c r="G67" s="553">
        <f>G68+G69+G75+G83+G90+G91+G97+G102</f>
        <v>2129224.2600000002</v>
      </c>
      <c r="H67" s="189">
        <f t="shared" ref="H67:H98" si="17">G67-F67</f>
        <v>-133975.94843199942</v>
      </c>
      <c r="I67" s="182">
        <f t="shared" ref="I67:I98" si="18">IFERROR(H67/ABS(F67), "-")</f>
        <v>-5.9197568086484596E-2</v>
      </c>
      <c r="J67" s="331"/>
      <c r="K67" s="189">
        <f t="shared" ref="K67:K98" si="19">G67-E67</f>
        <v>456252.4300000004</v>
      </c>
      <c r="L67" s="182">
        <f t="shared" ref="L67:L98" si="20">IFERROR(K67/ABS(E67), "-")</f>
        <v>0.27271973252532317</v>
      </c>
      <c r="M67" s="331"/>
    </row>
    <row r="68" spans="1:13" s="235" customFormat="1" ht="129" customHeight="1" x14ac:dyDescent="0.2">
      <c r="A68" s="245">
        <v>2210</v>
      </c>
      <c r="B68" s="247" t="s">
        <v>418</v>
      </c>
      <c r="C68" s="201">
        <v>15423.84</v>
      </c>
      <c r="D68" s="201">
        <v>18827.87</v>
      </c>
      <c r="E68" s="201">
        <v>15423.84</v>
      </c>
      <c r="F68" s="201">
        <v>18827.87</v>
      </c>
      <c r="G68" s="556">
        <v>16126.05</v>
      </c>
      <c r="H68" s="189">
        <f t="shared" si="17"/>
        <v>-2701.8199999999997</v>
      </c>
      <c r="I68" s="182">
        <f t="shared" si="18"/>
        <v>-0.14350109704390351</v>
      </c>
      <c r="J68" s="654" t="s">
        <v>798</v>
      </c>
      <c r="K68" s="185">
        <f t="shared" si="19"/>
        <v>702.20999999999913</v>
      </c>
      <c r="L68" s="182">
        <f t="shared" si="20"/>
        <v>4.5527572900133761E-2</v>
      </c>
      <c r="M68" s="644"/>
    </row>
    <row r="69" spans="1:13" s="235" customFormat="1" ht="31.5" customHeight="1" x14ac:dyDescent="0.2">
      <c r="A69" s="245">
        <v>2220</v>
      </c>
      <c r="B69" s="247" t="s">
        <v>44</v>
      </c>
      <c r="C69" s="191">
        <f t="shared" ref="C69:E69" si="21">SUM(C70:C74)</f>
        <v>615412.95000000007</v>
      </c>
      <c r="D69" s="191">
        <v>1024424.8227319999</v>
      </c>
      <c r="E69" s="191">
        <f t="shared" si="21"/>
        <v>615412.95000000007</v>
      </c>
      <c r="F69" s="191">
        <v>1024424.8227319999</v>
      </c>
      <c r="G69" s="553">
        <f>SUM(G70:G74)</f>
        <v>1107653.3800000001</v>
      </c>
      <c r="H69" s="189">
        <f t="shared" si="17"/>
        <v>83228.557268000208</v>
      </c>
      <c r="I69" s="182">
        <f t="shared" si="18"/>
        <v>8.1244182512135055E-2</v>
      </c>
      <c r="J69" s="757" t="s">
        <v>799</v>
      </c>
      <c r="K69" s="189">
        <f t="shared" si="19"/>
        <v>492240.43000000005</v>
      </c>
      <c r="L69" s="182">
        <f t="shared" si="20"/>
        <v>0.7998538704783511</v>
      </c>
      <c r="M69" s="757" t="s">
        <v>825</v>
      </c>
    </row>
    <row r="70" spans="1:13" s="235" customFormat="1" x14ac:dyDescent="0.2">
      <c r="A70" s="242">
        <v>2221</v>
      </c>
      <c r="B70" s="248" t="s">
        <v>419</v>
      </c>
      <c r="C70" s="202">
        <v>301011.89</v>
      </c>
      <c r="D70" s="211">
        <v>522918.12349999999</v>
      </c>
      <c r="E70" s="202">
        <v>301011.89</v>
      </c>
      <c r="F70" s="211">
        <v>522918.12349999999</v>
      </c>
      <c r="G70" s="554">
        <v>557811.18000000005</v>
      </c>
      <c r="H70" s="189">
        <f t="shared" si="17"/>
        <v>34893.056500000064</v>
      </c>
      <c r="I70" s="182">
        <f t="shared" si="18"/>
        <v>6.6727571548780076E-2</v>
      </c>
      <c r="J70" s="758"/>
      <c r="K70" s="183">
        <f t="shared" si="19"/>
        <v>256799.29000000004</v>
      </c>
      <c r="L70" s="184">
        <f t="shared" si="20"/>
        <v>0.85312008771480763</v>
      </c>
      <c r="M70" s="758"/>
    </row>
    <row r="71" spans="1:13" s="246" customFormat="1" x14ac:dyDescent="0.2">
      <c r="A71" s="242">
        <v>2222</v>
      </c>
      <c r="B71" s="248" t="s">
        <v>420</v>
      </c>
      <c r="C71" s="202">
        <v>27448.09</v>
      </c>
      <c r="D71" s="211">
        <v>28111.036400000005</v>
      </c>
      <c r="E71" s="202">
        <v>27448.09</v>
      </c>
      <c r="F71" s="211">
        <v>28111.036400000005</v>
      </c>
      <c r="G71" s="555">
        <v>32105.09</v>
      </c>
      <c r="H71" s="189">
        <f t="shared" si="17"/>
        <v>3994.0535999999956</v>
      </c>
      <c r="I71" s="182">
        <f t="shared" si="18"/>
        <v>0.14208133571339956</v>
      </c>
      <c r="J71" s="758"/>
      <c r="K71" s="183">
        <f t="shared" si="19"/>
        <v>4657</v>
      </c>
      <c r="L71" s="184">
        <f t="shared" si="20"/>
        <v>0.16966572173145744</v>
      </c>
      <c r="M71" s="758"/>
    </row>
    <row r="72" spans="1:13" s="235" customFormat="1" x14ac:dyDescent="0.2">
      <c r="A72" s="242">
        <v>2223</v>
      </c>
      <c r="B72" s="248" t="s">
        <v>45</v>
      </c>
      <c r="C72" s="202">
        <v>228063.69</v>
      </c>
      <c r="D72" s="211">
        <v>399772.475332</v>
      </c>
      <c r="E72" s="202">
        <v>228063.69</v>
      </c>
      <c r="F72" s="211">
        <v>399772.475332</v>
      </c>
      <c r="G72" s="555">
        <v>437827.84000000003</v>
      </c>
      <c r="H72" s="189">
        <f t="shared" si="17"/>
        <v>38055.364668000024</v>
      </c>
      <c r="I72" s="182">
        <f t="shared" si="18"/>
        <v>9.5192558308062836E-2</v>
      </c>
      <c r="J72" s="758"/>
      <c r="K72" s="183">
        <f t="shared" si="19"/>
        <v>209764.15000000002</v>
      </c>
      <c r="L72" s="184">
        <f t="shared" si="20"/>
        <v>0.91976127370385008</v>
      </c>
      <c r="M72" s="758"/>
    </row>
    <row r="73" spans="1:13" s="235" customFormat="1" ht="47.25" x14ac:dyDescent="0.2">
      <c r="A73" s="242">
        <v>2224</v>
      </c>
      <c r="B73" s="248" t="s">
        <v>158</v>
      </c>
      <c r="C73" s="202">
        <v>58889.279999999999</v>
      </c>
      <c r="D73" s="211">
        <v>73623.1875</v>
      </c>
      <c r="E73" s="202">
        <v>58889.279999999999</v>
      </c>
      <c r="F73" s="211">
        <v>73623.1875</v>
      </c>
      <c r="G73" s="555">
        <v>79909.27</v>
      </c>
      <c r="H73" s="189">
        <f t="shared" si="17"/>
        <v>6286.0825000000041</v>
      </c>
      <c r="I73" s="182">
        <f t="shared" si="18"/>
        <v>8.5381830282748955E-2</v>
      </c>
      <c r="J73" s="758"/>
      <c r="K73" s="183">
        <f t="shared" si="19"/>
        <v>21019.990000000005</v>
      </c>
      <c r="L73" s="184">
        <f t="shared" si="20"/>
        <v>0.35694085578903334</v>
      </c>
      <c r="M73" s="758"/>
    </row>
    <row r="74" spans="1:13" s="235" customFormat="1" ht="127.5" customHeight="1" x14ac:dyDescent="0.2">
      <c r="A74" s="242">
        <v>2229</v>
      </c>
      <c r="B74" s="248" t="s">
        <v>46</v>
      </c>
      <c r="C74" s="202">
        <v>0</v>
      </c>
      <c r="D74" s="202">
        <v>0</v>
      </c>
      <c r="E74" s="202">
        <v>0</v>
      </c>
      <c r="F74" s="202">
        <v>0</v>
      </c>
      <c r="G74" s="555"/>
      <c r="H74" s="189">
        <f t="shared" si="17"/>
        <v>0</v>
      </c>
      <c r="I74" s="182" t="str">
        <f t="shared" si="18"/>
        <v>-</v>
      </c>
      <c r="J74" s="759"/>
      <c r="K74" s="183">
        <f t="shared" si="19"/>
        <v>0</v>
      </c>
      <c r="L74" s="184" t="str">
        <f t="shared" si="20"/>
        <v>-</v>
      </c>
      <c r="M74" s="759"/>
    </row>
    <row r="75" spans="1:13" s="235" customFormat="1" ht="19.5" customHeight="1" x14ac:dyDescent="0.2">
      <c r="A75" s="245">
        <v>2230</v>
      </c>
      <c r="B75" s="247" t="s">
        <v>421</v>
      </c>
      <c r="C75" s="191">
        <f>SUM(C76:C82)</f>
        <v>415974.73</v>
      </c>
      <c r="D75" s="191">
        <v>428127.5257</v>
      </c>
      <c r="E75" s="191">
        <f>SUM(E76:E82)</f>
        <v>415974.73</v>
      </c>
      <c r="F75" s="191">
        <v>428127.5257</v>
      </c>
      <c r="G75" s="553">
        <f>SUM(G76:G82)</f>
        <v>470776.64999999997</v>
      </c>
      <c r="H75" s="189">
        <f t="shared" si="17"/>
        <v>42649.124299999967</v>
      </c>
      <c r="I75" s="182">
        <f t="shared" si="18"/>
        <v>9.961780483576127E-2</v>
      </c>
      <c r="J75" s="369"/>
      <c r="K75" s="189">
        <f t="shared" si="19"/>
        <v>54801.919999999984</v>
      </c>
      <c r="L75" s="182">
        <f t="shared" si="20"/>
        <v>0.13174338739278701</v>
      </c>
      <c r="M75" s="336"/>
    </row>
    <row r="76" spans="1:13" s="246" customFormat="1" ht="31.5" x14ac:dyDescent="0.2">
      <c r="A76" s="242">
        <v>2231</v>
      </c>
      <c r="B76" s="248" t="s">
        <v>422</v>
      </c>
      <c r="C76" s="202">
        <v>0</v>
      </c>
      <c r="D76" s="202">
        <v>0</v>
      </c>
      <c r="E76" s="202">
        <v>0</v>
      </c>
      <c r="F76" s="202">
        <v>0</v>
      </c>
      <c r="G76" s="555"/>
      <c r="H76" s="189">
        <f t="shared" si="17"/>
        <v>0</v>
      </c>
      <c r="I76" s="182" t="str">
        <f t="shared" si="18"/>
        <v>-</v>
      </c>
      <c r="J76" s="243"/>
      <c r="K76" s="195">
        <f t="shared" si="19"/>
        <v>0</v>
      </c>
      <c r="L76" s="203" t="str">
        <f t="shared" si="20"/>
        <v>-</v>
      </c>
      <c r="M76" s="243"/>
    </row>
    <row r="77" spans="1:13" s="235" customFormat="1" ht="31.5" x14ac:dyDescent="0.2">
      <c r="A77" s="242">
        <v>2232</v>
      </c>
      <c r="B77" s="248" t="s">
        <v>423</v>
      </c>
      <c r="C77" s="202">
        <v>0</v>
      </c>
      <c r="D77" s="202">
        <v>0</v>
      </c>
      <c r="E77" s="202">
        <v>0</v>
      </c>
      <c r="F77" s="202">
        <v>0</v>
      </c>
      <c r="G77" s="555"/>
      <c r="H77" s="189">
        <f t="shared" si="17"/>
        <v>0</v>
      </c>
      <c r="I77" s="182" t="str">
        <f t="shared" si="18"/>
        <v>-</v>
      </c>
      <c r="J77" s="243"/>
      <c r="K77" s="195">
        <f t="shared" si="19"/>
        <v>0</v>
      </c>
      <c r="L77" s="203" t="str">
        <f t="shared" si="20"/>
        <v>-</v>
      </c>
      <c r="M77" s="243"/>
    </row>
    <row r="78" spans="1:13" s="235" customFormat="1" ht="110.25" x14ac:dyDescent="0.2">
      <c r="A78" s="242">
        <v>2233</v>
      </c>
      <c r="B78" s="248" t="s">
        <v>47</v>
      </c>
      <c r="C78" s="202">
        <v>4017.31</v>
      </c>
      <c r="D78" s="202">
        <v>4835.33</v>
      </c>
      <c r="E78" s="202">
        <v>4017.31</v>
      </c>
      <c r="F78" s="202">
        <v>4835.33</v>
      </c>
      <c r="G78" s="555">
        <v>4469.22</v>
      </c>
      <c r="H78" s="189">
        <f t="shared" si="17"/>
        <v>-366.10999999999967</v>
      </c>
      <c r="I78" s="182">
        <f t="shared" si="18"/>
        <v>-7.5715618168770218E-2</v>
      </c>
      <c r="J78" s="652" t="s">
        <v>800</v>
      </c>
      <c r="K78" s="186">
        <f t="shared" si="19"/>
        <v>451.91000000000031</v>
      </c>
      <c r="L78" s="187">
        <f t="shared" si="20"/>
        <v>0.11249069651084938</v>
      </c>
      <c r="M78" s="652" t="s">
        <v>826</v>
      </c>
    </row>
    <row r="79" spans="1:13" s="235" customFormat="1" ht="31.5" x14ac:dyDescent="0.2">
      <c r="A79" s="242">
        <v>2234</v>
      </c>
      <c r="B79" s="248" t="s">
        <v>48</v>
      </c>
      <c r="C79" s="202">
        <v>0</v>
      </c>
      <c r="D79" s="202">
        <v>0</v>
      </c>
      <c r="E79" s="202">
        <v>0</v>
      </c>
      <c r="F79" s="202">
        <v>0</v>
      </c>
      <c r="G79" s="555"/>
      <c r="H79" s="189">
        <f t="shared" si="17"/>
        <v>0</v>
      </c>
      <c r="I79" s="182" t="str">
        <f t="shared" si="18"/>
        <v>-</v>
      </c>
      <c r="J79" s="243"/>
      <c r="K79" s="195">
        <f t="shared" si="19"/>
        <v>0</v>
      </c>
      <c r="L79" s="203" t="str">
        <f t="shared" si="20"/>
        <v>-</v>
      </c>
      <c r="M79" s="335"/>
    </row>
    <row r="80" spans="1:13" s="235" customFormat="1" ht="94.5" x14ac:dyDescent="0.2">
      <c r="A80" s="242">
        <v>2235</v>
      </c>
      <c r="B80" s="248" t="s">
        <v>424</v>
      </c>
      <c r="C80" s="202">
        <v>564.55999999999995</v>
      </c>
      <c r="D80" s="202">
        <v>6000</v>
      </c>
      <c r="E80" s="202">
        <v>564.55999999999995</v>
      </c>
      <c r="F80" s="202">
        <v>6000</v>
      </c>
      <c r="G80" s="555">
        <v>4013.65</v>
      </c>
      <c r="H80" s="189">
        <f t="shared" si="17"/>
        <v>-1986.35</v>
      </c>
      <c r="I80" s="182">
        <f t="shared" si="18"/>
        <v>-0.33105833333333334</v>
      </c>
      <c r="J80" s="652" t="s">
        <v>801</v>
      </c>
      <c r="K80" s="183">
        <f t="shared" si="19"/>
        <v>3449.09</v>
      </c>
      <c r="L80" s="184">
        <f t="shared" si="20"/>
        <v>6.1093417882953105</v>
      </c>
      <c r="M80" s="661" t="s">
        <v>827</v>
      </c>
    </row>
    <row r="81" spans="1:13" s="235" customFormat="1" ht="236.25" x14ac:dyDescent="0.2">
      <c r="A81" s="242">
        <v>2236</v>
      </c>
      <c r="B81" s="248" t="s">
        <v>425</v>
      </c>
      <c r="C81" s="202">
        <v>8616.9</v>
      </c>
      <c r="D81" s="202">
        <v>11588.6657</v>
      </c>
      <c r="E81" s="202">
        <v>8616.9</v>
      </c>
      <c r="F81" s="202">
        <v>11588.6657</v>
      </c>
      <c r="G81" s="555">
        <v>9489.42</v>
      </c>
      <c r="H81" s="189">
        <f t="shared" si="17"/>
        <v>-2099.2456999999995</v>
      </c>
      <c r="I81" s="182">
        <f t="shared" si="18"/>
        <v>-0.18114645415994696</v>
      </c>
      <c r="J81" s="652" t="s">
        <v>802</v>
      </c>
      <c r="K81" s="183">
        <f t="shared" si="19"/>
        <v>872.52000000000044</v>
      </c>
      <c r="L81" s="184">
        <f t="shared" si="20"/>
        <v>0.10125683250356862</v>
      </c>
      <c r="M81" s="652" t="s">
        <v>828</v>
      </c>
    </row>
    <row r="82" spans="1:13" s="235" customFormat="1" ht="288.75" customHeight="1" x14ac:dyDescent="0.2">
      <c r="A82" s="242">
        <v>2239</v>
      </c>
      <c r="B82" s="248" t="s">
        <v>426</v>
      </c>
      <c r="C82" s="202">
        <f>34.22+402731.44+10.3</f>
        <v>402775.95999999996</v>
      </c>
      <c r="D82" s="202">
        <v>405703.52999999997</v>
      </c>
      <c r="E82" s="202">
        <f>34.22+402731.44+10.3</f>
        <v>402775.95999999996</v>
      </c>
      <c r="F82" s="202">
        <v>405703.52999999997</v>
      </c>
      <c r="G82" s="555">
        <f>453570.17+233.53-1000.34+1</f>
        <v>452804.36</v>
      </c>
      <c r="H82" s="189">
        <f t="shared" si="17"/>
        <v>47100.830000000016</v>
      </c>
      <c r="I82" s="182">
        <f t="shared" si="18"/>
        <v>0.11609667285862664</v>
      </c>
      <c r="J82" s="652" t="s">
        <v>803</v>
      </c>
      <c r="K82" s="183">
        <f t="shared" si="19"/>
        <v>50028.400000000023</v>
      </c>
      <c r="L82" s="184">
        <f t="shared" si="20"/>
        <v>0.12420900194738541</v>
      </c>
      <c r="M82" s="652" t="s">
        <v>829</v>
      </c>
    </row>
    <row r="83" spans="1:13" s="246" customFormat="1" ht="138" customHeight="1" x14ac:dyDescent="0.2">
      <c r="A83" s="245">
        <v>2240</v>
      </c>
      <c r="B83" s="247" t="s">
        <v>159</v>
      </c>
      <c r="C83" s="191">
        <f t="shared" ref="C83:E83" si="22">SUM(C84:C89)</f>
        <v>428781.48000000004</v>
      </c>
      <c r="D83" s="191">
        <v>576692.89000000013</v>
      </c>
      <c r="E83" s="191">
        <f t="shared" si="22"/>
        <v>428781.48000000004</v>
      </c>
      <c r="F83" s="191">
        <v>576692.89000000013</v>
      </c>
      <c r="G83" s="553">
        <f t="shared" ref="G83" si="23">SUM(G84:G89)</f>
        <v>331142.3</v>
      </c>
      <c r="H83" s="189">
        <f t="shared" si="17"/>
        <v>-245550.59000000014</v>
      </c>
      <c r="I83" s="182">
        <f t="shared" si="18"/>
        <v>-0.42579090926541524</v>
      </c>
      <c r="J83" s="757" t="s">
        <v>804</v>
      </c>
      <c r="K83" s="189">
        <f t="shared" si="19"/>
        <v>-97639.180000000051</v>
      </c>
      <c r="L83" s="182">
        <f t="shared" si="20"/>
        <v>-0.22771314656593852</v>
      </c>
      <c r="M83" s="757" t="s">
        <v>830</v>
      </c>
    </row>
    <row r="84" spans="1:13" s="235" customFormat="1" x14ac:dyDescent="0.2">
      <c r="A84" s="242">
        <v>2241</v>
      </c>
      <c r="B84" s="248" t="s">
        <v>427</v>
      </c>
      <c r="C84" s="202">
        <v>115825</v>
      </c>
      <c r="D84" s="202">
        <v>114573</v>
      </c>
      <c r="E84" s="202">
        <v>115825</v>
      </c>
      <c r="F84" s="202">
        <v>114573</v>
      </c>
      <c r="G84" s="555">
        <v>1601.64</v>
      </c>
      <c r="H84" s="249">
        <f t="shared" si="17"/>
        <v>-112971.36</v>
      </c>
      <c r="I84" s="188">
        <f t="shared" si="18"/>
        <v>-0.98602079023853784</v>
      </c>
      <c r="J84" s="758"/>
      <c r="K84" s="183">
        <f t="shared" si="19"/>
        <v>-114223.36</v>
      </c>
      <c r="L84" s="184">
        <f t="shared" si="20"/>
        <v>-0.98617189725879562</v>
      </c>
      <c r="M84" s="758"/>
    </row>
    <row r="85" spans="1:13" s="235" customFormat="1" x14ac:dyDescent="0.2">
      <c r="A85" s="242">
        <v>2242</v>
      </c>
      <c r="B85" s="248" t="s">
        <v>49</v>
      </c>
      <c r="C85" s="202">
        <v>1123.26</v>
      </c>
      <c r="D85" s="202">
        <v>894.42000000000007</v>
      </c>
      <c r="E85" s="202">
        <v>1123.26</v>
      </c>
      <c r="F85" s="202">
        <v>894.42000000000007</v>
      </c>
      <c r="G85" s="555">
        <v>2299.4699999999998</v>
      </c>
      <c r="H85" s="249">
        <f t="shared" si="17"/>
        <v>1405.0499999999997</v>
      </c>
      <c r="I85" s="188">
        <f t="shared" si="18"/>
        <v>1.5709062856376195</v>
      </c>
      <c r="J85" s="758"/>
      <c r="K85" s="183">
        <f t="shared" si="19"/>
        <v>1176.2099999999998</v>
      </c>
      <c r="L85" s="184">
        <f t="shared" si="20"/>
        <v>1.0471395758773567</v>
      </c>
      <c r="M85" s="758"/>
    </row>
    <row r="86" spans="1:13" s="235" customFormat="1" ht="31.5" x14ac:dyDescent="0.2">
      <c r="A86" s="242">
        <v>2243</v>
      </c>
      <c r="B86" s="248" t="s">
        <v>50</v>
      </c>
      <c r="C86" s="202">
        <v>187226.64</v>
      </c>
      <c r="D86" s="202">
        <v>184170.44</v>
      </c>
      <c r="E86" s="202">
        <v>187226.64</v>
      </c>
      <c r="F86" s="202">
        <v>184170.44</v>
      </c>
      <c r="G86" s="555">
        <v>198914.75</v>
      </c>
      <c r="H86" s="249">
        <f t="shared" si="17"/>
        <v>14744.309999999998</v>
      </c>
      <c r="I86" s="188">
        <f t="shared" si="18"/>
        <v>8.0057961527376473E-2</v>
      </c>
      <c r="J86" s="758"/>
      <c r="K86" s="183">
        <f t="shared" si="19"/>
        <v>11688.109999999986</v>
      </c>
      <c r="L86" s="184">
        <f t="shared" si="20"/>
        <v>6.2427601114883997E-2</v>
      </c>
      <c r="M86" s="758"/>
    </row>
    <row r="87" spans="1:13" s="235" customFormat="1" x14ac:dyDescent="0.2">
      <c r="A87" s="242">
        <v>2244</v>
      </c>
      <c r="B87" s="248" t="s">
        <v>160</v>
      </c>
      <c r="C87" s="202">
        <v>20969.240000000002</v>
      </c>
      <c r="D87" s="202">
        <v>20802.769999999997</v>
      </c>
      <c r="E87" s="202">
        <v>20969.240000000002</v>
      </c>
      <c r="F87" s="202">
        <v>20802.769999999997</v>
      </c>
      <c r="G87" s="555">
        <v>22715.47</v>
      </c>
      <c r="H87" s="249">
        <f t="shared" si="17"/>
        <v>1912.7000000000044</v>
      </c>
      <c r="I87" s="188">
        <f t="shared" si="18"/>
        <v>9.1944486239092418E-2</v>
      </c>
      <c r="J87" s="758"/>
      <c r="K87" s="183">
        <f t="shared" si="19"/>
        <v>1746.2299999999996</v>
      </c>
      <c r="L87" s="184">
        <f t="shared" si="20"/>
        <v>8.3275788726725405E-2</v>
      </c>
      <c r="M87" s="758"/>
    </row>
    <row r="88" spans="1:13" s="235" customFormat="1" x14ac:dyDescent="0.2">
      <c r="A88" s="242">
        <v>2247</v>
      </c>
      <c r="B88" s="248" t="s">
        <v>51</v>
      </c>
      <c r="C88" s="202">
        <v>2191.2600000000002</v>
      </c>
      <c r="D88" s="202">
        <v>2362.2600000000007</v>
      </c>
      <c r="E88" s="202">
        <v>2191.2600000000002</v>
      </c>
      <c r="F88" s="202">
        <v>2362.2600000000007</v>
      </c>
      <c r="G88" s="555">
        <f>18.41+2985.78</f>
        <v>3004.19</v>
      </c>
      <c r="H88" s="249">
        <f t="shared" si="17"/>
        <v>641.92999999999938</v>
      </c>
      <c r="I88" s="188">
        <f t="shared" si="18"/>
        <v>0.27174400785688246</v>
      </c>
      <c r="J88" s="758"/>
      <c r="K88" s="183">
        <f t="shared" si="19"/>
        <v>812.92999999999984</v>
      </c>
      <c r="L88" s="184">
        <f t="shared" si="20"/>
        <v>0.37098746839717778</v>
      </c>
      <c r="M88" s="758"/>
    </row>
    <row r="89" spans="1:13" s="235" customFormat="1" ht="31.5" x14ac:dyDescent="0.2">
      <c r="A89" s="242">
        <v>2249</v>
      </c>
      <c r="B89" s="248" t="s">
        <v>52</v>
      </c>
      <c r="C89" s="202">
        <v>101446.08</v>
      </c>
      <c r="D89" s="202">
        <v>253890</v>
      </c>
      <c r="E89" s="202">
        <v>101446.08</v>
      </c>
      <c r="F89" s="202">
        <v>253890</v>
      </c>
      <c r="G89" s="555">
        <v>102606.78</v>
      </c>
      <c r="H89" s="249">
        <f t="shared" si="17"/>
        <v>-151283.22</v>
      </c>
      <c r="I89" s="188">
        <f t="shared" si="18"/>
        <v>-0.59586127850643977</v>
      </c>
      <c r="J89" s="759"/>
      <c r="K89" s="183">
        <f t="shared" si="19"/>
        <v>1160.6999999999971</v>
      </c>
      <c r="L89" s="184">
        <f t="shared" si="20"/>
        <v>1.1441546090297398E-2</v>
      </c>
      <c r="M89" s="759"/>
    </row>
    <row r="90" spans="1:13" s="246" customFormat="1" ht="47.25" x14ac:dyDescent="0.2">
      <c r="A90" s="245">
        <v>2250</v>
      </c>
      <c r="B90" s="247" t="s">
        <v>53</v>
      </c>
      <c r="C90" s="201">
        <v>151801.4</v>
      </c>
      <c r="D90" s="201">
        <v>156320.28</v>
      </c>
      <c r="E90" s="201">
        <v>151801.4</v>
      </c>
      <c r="F90" s="201">
        <v>156320.28</v>
      </c>
      <c r="G90" s="556">
        <v>146546.73000000001</v>
      </c>
      <c r="H90" s="189">
        <f t="shared" si="17"/>
        <v>-9773.5499999999884</v>
      </c>
      <c r="I90" s="182">
        <f t="shared" si="18"/>
        <v>-6.2522597835674223E-2</v>
      </c>
      <c r="J90" s="654" t="s">
        <v>805</v>
      </c>
      <c r="K90" s="185">
        <f t="shared" si="19"/>
        <v>-5254.6699999999837</v>
      </c>
      <c r="L90" s="182">
        <f t="shared" si="20"/>
        <v>-3.461542515418161E-2</v>
      </c>
      <c r="M90" s="344"/>
    </row>
    <row r="91" spans="1:13" s="246" customFormat="1" ht="19.5" customHeight="1" x14ac:dyDescent="0.2">
      <c r="A91" s="245">
        <v>2260</v>
      </c>
      <c r="B91" s="247" t="s">
        <v>54</v>
      </c>
      <c r="C91" s="191">
        <f t="shared" ref="C91:E91" si="24">SUM(C92:C96)</f>
        <v>38038.9</v>
      </c>
      <c r="D91" s="191">
        <v>37393.729999999996</v>
      </c>
      <c r="E91" s="191">
        <f t="shared" si="24"/>
        <v>38038.9</v>
      </c>
      <c r="F91" s="191">
        <v>37393.729999999996</v>
      </c>
      <c r="G91" s="553">
        <f t="shared" ref="G91" si="25">SUM(G92:G96)</f>
        <v>48758.93</v>
      </c>
      <c r="H91" s="189">
        <f t="shared" si="17"/>
        <v>11365.200000000004</v>
      </c>
      <c r="I91" s="182">
        <f t="shared" si="18"/>
        <v>0.30393330646608419</v>
      </c>
      <c r="J91" s="757" t="s">
        <v>806</v>
      </c>
      <c r="K91" s="189">
        <f t="shared" si="19"/>
        <v>10720.029999999999</v>
      </c>
      <c r="L91" s="182">
        <f t="shared" si="20"/>
        <v>0.28181756044470263</v>
      </c>
      <c r="M91" s="757" t="s">
        <v>831</v>
      </c>
    </row>
    <row r="92" spans="1:13" s="235" customFormat="1" x14ac:dyDescent="0.2">
      <c r="A92" s="242">
        <v>2261</v>
      </c>
      <c r="B92" s="248" t="s">
        <v>55</v>
      </c>
      <c r="C92" s="202">
        <v>0</v>
      </c>
      <c r="D92" s="202">
        <v>0</v>
      </c>
      <c r="E92" s="202">
        <v>0</v>
      </c>
      <c r="F92" s="202">
        <v>0</v>
      </c>
      <c r="G92" s="555"/>
      <c r="H92" s="249">
        <f t="shared" si="17"/>
        <v>0</v>
      </c>
      <c r="I92" s="188" t="str">
        <f t="shared" si="18"/>
        <v>-</v>
      </c>
      <c r="J92" s="760"/>
      <c r="K92" s="183">
        <f t="shared" si="19"/>
        <v>0</v>
      </c>
      <c r="L92" s="184" t="str">
        <f t="shared" si="20"/>
        <v>-</v>
      </c>
      <c r="M92" s="758"/>
    </row>
    <row r="93" spans="1:13" s="235" customFormat="1" x14ac:dyDescent="0.2">
      <c r="A93" s="242">
        <v>2262</v>
      </c>
      <c r="B93" s="248" t="s">
        <v>56</v>
      </c>
      <c r="C93" s="202">
        <v>0</v>
      </c>
      <c r="D93" s="202">
        <v>0</v>
      </c>
      <c r="E93" s="202">
        <v>0</v>
      </c>
      <c r="F93" s="202">
        <v>0</v>
      </c>
      <c r="G93" s="555"/>
      <c r="H93" s="249">
        <f t="shared" si="17"/>
        <v>0</v>
      </c>
      <c r="I93" s="188" t="str">
        <f t="shared" si="18"/>
        <v>-</v>
      </c>
      <c r="J93" s="760"/>
      <c r="K93" s="183">
        <f t="shared" si="19"/>
        <v>0</v>
      </c>
      <c r="L93" s="184" t="str">
        <f t="shared" si="20"/>
        <v>-</v>
      </c>
      <c r="M93" s="758"/>
    </row>
    <row r="94" spans="1:13" s="235" customFormat="1" x14ac:dyDescent="0.2">
      <c r="A94" s="242">
        <v>2263</v>
      </c>
      <c r="B94" s="248" t="s">
        <v>57</v>
      </c>
      <c r="C94" s="202">
        <v>0</v>
      </c>
      <c r="D94" s="202">
        <v>0</v>
      </c>
      <c r="E94" s="202">
        <v>0</v>
      </c>
      <c r="F94" s="202">
        <v>0</v>
      </c>
      <c r="G94" s="555"/>
      <c r="H94" s="249">
        <f t="shared" si="17"/>
        <v>0</v>
      </c>
      <c r="I94" s="188" t="str">
        <f t="shared" si="18"/>
        <v>-</v>
      </c>
      <c r="J94" s="760"/>
      <c r="K94" s="183">
        <f t="shared" si="19"/>
        <v>0</v>
      </c>
      <c r="L94" s="184" t="str">
        <f t="shared" si="20"/>
        <v>-</v>
      </c>
      <c r="M94" s="758"/>
    </row>
    <row r="95" spans="1:13" s="235" customFormat="1" x14ac:dyDescent="0.2">
      <c r="A95" s="242">
        <v>2264</v>
      </c>
      <c r="B95" s="248" t="s">
        <v>161</v>
      </c>
      <c r="C95" s="202">
        <v>37835.9</v>
      </c>
      <c r="D95" s="202">
        <v>37216.729999999996</v>
      </c>
      <c r="E95" s="202">
        <v>37835.9</v>
      </c>
      <c r="F95" s="202">
        <v>37216.729999999996</v>
      </c>
      <c r="G95" s="555">
        <v>48758.93</v>
      </c>
      <c r="H95" s="232">
        <f t="shared" si="17"/>
        <v>11542.200000000004</v>
      </c>
      <c r="I95" s="188">
        <f t="shared" si="18"/>
        <v>0.31013471629560163</v>
      </c>
      <c r="J95" s="760"/>
      <c r="K95" s="183">
        <f t="shared" si="19"/>
        <v>10923.029999999999</v>
      </c>
      <c r="L95" s="184">
        <f t="shared" si="20"/>
        <v>0.28869486387267113</v>
      </c>
      <c r="M95" s="758"/>
    </row>
    <row r="96" spans="1:13" s="235" customFormat="1" ht="159.75" customHeight="1" x14ac:dyDescent="0.2">
      <c r="A96" s="242">
        <v>2269</v>
      </c>
      <c r="B96" s="248" t="s">
        <v>58</v>
      </c>
      <c r="C96" s="202">
        <v>203</v>
      </c>
      <c r="D96" s="202">
        <v>177</v>
      </c>
      <c r="E96" s="202">
        <v>203</v>
      </c>
      <c r="F96" s="202">
        <v>177</v>
      </c>
      <c r="G96" s="555"/>
      <c r="H96" s="249">
        <f t="shared" si="17"/>
        <v>-177</v>
      </c>
      <c r="I96" s="188">
        <f t="shared" si="18"/>
        <v>-1</v>
      </c>
      <c r="J96" s="761"/>
      <c r="K96" s="183">
        <f t="shared" si="19"/>
        <v>-203</v>
      </c>
      <c r="L96" s="184">
        <f t="shared" si="20"/>
        <v>-1</v>
      </c>
      <c r="M96" s="759"/>
    </row>
    <row r="97" spans="1:13" s="235" customFormat="1" ht="19.5" customHeight="1" x14ac:dyDescent="0.2">
      <c r="A97" s="245">
        <v>2270</v>
      </c>
      <c r="B97" s="247" t="s">
        <v>428</v>
      </c>
      <c r="C97" s="191">
        <f t="shared" ref="C97:E97" si="26">SUM(C98:C101)</f>
        <v>5133.75</v>
      </c>
      <c r="D97" s="191">
        <v>19002.25</v>
      </c>
      <c r="E97" s="191">
        <f t="shared" si="26"/>
        <v>5133.75</v>
      </c>
      <c r="F97" s="191">
        <v>19002.25</v>
      </c>
      <c r="G97" s="553">
        <f t="shared" ref="G97" si="27">SUM(G98:G101)</f>
        <v>5496</v>
      </c>
      <c r="H97" s="189">
        <f t="shared" si="17"/>
        <v>-13506.25</v>
      </c>
      <c r="I97" s="182">
        <f t="shared" si="18"/>
        <v>-0.71077109289689377</v>
      </c>
      <c r="J97" s="757" t="s">
        <v>807</v>
      </c>
      <c r="K97" s="189">
        <f t="shared" si="19"/>
        <v>362.25</v>
      </c>
      <c r="L97" s="182">
        <f t="shared" si="20"/>
        <v>7.0562454346238132E-2</v>
      </c>
      <c r="M97" s="757" t="s">
        <v>832</v>
      </c>
    </row>
    <row r="98" spans="1:13" s="235" customFormat="1" x14ac:dyDescent="0.2">
      <c r="A98" s="242">
        <v>2272</v>
      </c>
      <c r="B98" s="248" t="s">
        <v>59</v>
      </c>
      <c r="C98" s="202">
        <v>0</v>
      </c>
      <c r="D98" s="202">
        <v>0</v>
      </c>
      <c r="E98" s="202">
        <v>0</v>
      </c>
      <c r="F98" s="202">
        <v>0</v>
      </c>
      <c r="G98" s="555">
        <v>0</v>
      </c>
      <c r="H98" s="189">
        <f t="shared" si="17"/>
        <v>0</v>
      </c>
      <c r="I98" s="182" t="str">
        <f t="shared" si="18"/>
        <v>-</v>
      </c>
      <c r="J98" s="758"/>
      <c r="K98" s="183">
        <f t="shared" si="19"/>
        <v>0</v>
      </c>
      <c r="L98" s="184" t="str">
        <f t="shared" si="20"/>
        <v>-</v>
      </c>
      <c r="M98" s="758"/>
    </row>
    <row r="99" spans="1:13" s="235" customFormat="1" ht="31.5" x14ac:dyDescent="0.2">
      <c r="A99" s="242">
        <v>2273</v>
      </c>
      <c r="B99" s="248" t="s">
        <v>60</v>
      </c>
      <c r="C99" s="202">
        <v>0</v>
      </c>
      <c r="D99" s="202">
        <v>0</v>
      </c>
      <c r="E99" s="202">
        <v>0</v>
      </c>
      <c r="F99" s="202">
        <v>0</v>
      </c>
      <c r="G99" s="555">
        <v>0</v>
      </c>
      <c r="H99" s="189">
        <f t="shared" ref="H99:H130" si="28">G99-F99</f>
        <v>0</v>
      </c>
      <c r="I99" s="182" t="str">
        <f t="shared" ref="I99:I130" si="29">IFERROR(H99/ABS(F99), "-")</f>
        <v>-</v>
      </c>
      <c r="J99" s="758"/>
      <c r="K99" s="183">
        <f t="shared" ref="K99:K130" si="30">G99-E99</f>
        <v>0</v>
      </c>
      <c r="L99" s="184" t="str">
        <f t="shared" ref="L99:L130" si="31">IFERROR(K99/ABS(E99), "-")</f>
        <v>-</v>
      </c>
      <c r="M99" s="758"/>
    </row>
    <row r="100" spans="1:13" s="235" customFormat="1" ht="31.5" x14ac:dyDescent="0.2">
      <c r="A100" s="242">
        <v>2274</v>
      </c>
      <c r="B100" s="248" t="s">
        <v>429</v>
      </c>
      <c r="C100" s="202">
        <v>0</v>
      </c>
      <c r="D100" s="202">
        <v>0</v>
      </c>
      <c r="E100" s="202">
        <v>0</v>
      </c>
      <c r="F100" s="202">
        <v>0</v>
      </c>
      <c r="G100" s="555">
        <v>0</v>
      </c>
      <c r="H100" s="189">
        <f t="shared" si="28"/>
        <v>0</v>
      </c>
      <c r="I100" s="182" t="str">
        <f t="shared" si="29"/>
        <v>-</v>
      </c>
      <c r="J100" s="758"/>
      <c r="K100" s="183">
        <f t="shared" si="30"/>
        <v>0</v>
      </c>
      <c r="L100" s="184" t="str">
        <f t="shared" si="31"/>
        <v>-</v>
      </c>
      <c r="M100" s="758"/>
    </row>
    <row r="101" spans="1:13" s="235" customFormat="1" ht="105" customHeight="1" x14ac:dyDescent="0.2">
      <c r="A101" s="242">
        <v>2276</v>
      </c>
      <c r="B101" s="248" t="s">
        <v>162</v>
      </c>
      <c r="C101" s="202">
        <v>5133.75</v>
      </c>
      <c r="D101" s="202">
        <v>19002.25</v>
      </c>
      <c r="E101" s="202">
        <v>5133.75</v>
      </c>
      <c r="F101" s="202">
        <v>19002.25</v>
      </c>
      <c r="G101" s="555">
        <v>5496</v>
      </c>
      <c r="H101" s="189">
        <f t="shared" si="28"/>
        <v>-13506.25</v>
      </c>
      <c r="I101" s="182">
        <f t="shared" si="29"/>
        <v>-0.71077109289689377</v>
      </c>
      <c r="J101" s="759"/>
      <c r="K101" s="183">
        <f t="shared" si="30"/>
        <v>362.25</v>
      </c>
      <c r="L101" s="184">
        <f t="shared" si="31"/>
        <v>7.0562454346238132E-2</v>
      </c>
      <c r="M101" s="759"/>
    </row>
    <row r="102" spans="1:13" s="235" customFormat="1" ht="121.5" customHeight="1" x14ac:dyDescent="0.2">
      <c r="A102" s="245">
        <v>2280</v>
      </c>
      <c r="B102" s="247" t="s">
        <v>61</v>
      </c>
      <c r="C102" s="201">
        <v>2404.7800000000002</v>
      </c>
      <c r="D102" s="201">
        <v>2410.84</v>
      </c>
      <c r="E102" s="201">
        <v>2404.7800000000002</v>
      </c>
      <c r="F102" s="201">
        <v>2410.84</v>
      </c>
      <c r="G102" s="556">
        <v>2724.22</v>
      </c>
      <c r="H102" s="189">
        <f t="shared" si="28"/>
        <v>313.37999999999965</v>
      </c>
      <c r="I102" s="182">
        <f t="shared" si="29"/>
        <v>0.12998788803902359</v>
      </c>
      <c r="J102" s="654" t="s">
        <v>808</v>
      </c>
      <c r="K102" s="185">
        <f t="shared" si="30"/>
        <v>319.4399999999996</v>
      </c>
      <c r="L102" s="182">
        <f t="shared" si="31"/>
        <v>0.13283543608978765</v>
      </c>
      <c r="M102" s="654" t="s">
        <v>833</v>
      </c>
    </row>
    <row r="103" spans="1:13" s="246" customFormat="1" ht="75" customHeight="1" x14ac:dyDescent="0.2">
      <c r="A103" s="233">
        <v>2300</v>
      </c>
      <c r="B103" s="247" t="s">
        <v>62</v>
      </c>
      <c r="C103" s="191">
        <f>C104+C109+C113+C114+C128+C129+C136+C137+C138</f>
        <v>5122162.03</v>
      </c>
      <c r="D103" s="191">
        <v>5378026.3247345872</v>
      </c>
      <c r="E103" s="191">
        <f>E104+E109+E113+E114+E128+E129+E136+E137+E138</f>
        <v>5122162.03</v>
      </c>
      <c r="F103" s="191">
        <v>5378026.3247345872</v>
      </c>
      <c r="G103" s="553">
        <f t="shared" ref="G103" si="32">G104+G109+G113+G114+G128+G129+G136+G137+G138</f>
        <v>5696125.0199999996</v>
      </c>
      <c r="H103" s="189">
        <f t="shared" si="28"/>
        <v>318098.69526541233</v>
      </c>
      <c r="I103" s="182">
        <f t="shared" si="29"/>
        <v>5.9147850169943325E-2</v>
      </c>
      <c r="J103" s="331"/>
      <c r="K103" s="189">
        <f t="shared" si="30"/>
        <v>573962.98999999929</v>
      </c>
      <c r="L103" s="182">
        <f t="shared" si="31"/>
        <v>0.11205482892543313</v>
      </c>
      <c r="M103" s="331"/>
    </row>
    <row r="104" spans="1:13" s="235" customFormat="1" ht="31.5" customHeight="1" x14ac:dyDescent="0.2">
      <c r="A104" s="245">
        <v>2310</v>
      </c>
      <c r="B104" s="247" t="s">
        <v>430</v>
      </c>
      <c r="C104" s="191">
        <f t="shared" ref="C104:E104" si="33">SUM(C105:C108)</f>
        <v>140788.06</v>
      </c>
      <c r="D104" s="191">
        <v>121372.89383458647</v>
      </c>
      <c r="E104" s="191">
        <f t="shared" si="33"/>
        <v>140788.06</v>
      </c>
      <c r="F104" s="191">
        <v>121372.89383458647</v>
      </c>
      <c r="G104" s="553">
        <f t="shared" ref="G104" si="34">SUM(G105:G108)</f>
        <v>67707.88</v>
      </c>
      <c r="H104" s="189">
        <f t="shared" si="28"/>
        <v>-53665.013834586469</v>
      </c>
      <c r="I104" s="182">
        <f t="shared" si="29"/>
        <v>-0.44214990793351311</v>
      </c>
      <c r="J104" s="757" t="s">
        <v>809</v>
      </c>
      <c r="K104" s="189">
        <f>G104-E104</f>
        <v>-73080.179999999993</v>
      </c>
      <c r="L104" s="182">
        <f t="shared" si="31"/>
        <v>-0.51907938784013352</v>
      </c>
      <c r="M104" s="757" t="s">
        <v>834</v>
      </c>
    </row>
    <row r="105" spans="1:13" s="235" customFormat="1" x14ac:dyDescent="0.2">
      <c r="A105" s="242">
        <v>2311</v>
      </c>
      <c r="B105" s="248" t="s">
        <v>63</v>
      </c>
      <c r="C105" s="202">
        <v>8397.66</v>
      </c>
      <c r="D105" s="202">
        <v>8587.73</v>
      </c>
      <c r="E105" s="202">
        <v>8397.66</v>
      </c>
      <c r="F105" s="202">
        <v>8587.73</v>
      </c>
      <c r="G105" s="555">
        <v>24066.05</v>
      </c>
      <c r="H105" s="189">
        <f t="shared" si="28"/>
        <v>15478.32</v>
      </c>
      <c r="I105" s="182">
        <f t="shared" si="29"/>
        <v>1.8023761808999585</v>
      </c>
      <c r="J105" s="758"/>
      <c r="K105" s="183">
        <f t="shared" si="30"/>
        <v>15668.39</v>
      </c>
      <c r="L105" s="184">
        <f t="shared" si="31"/>
        <v>1.8658042835742337</v>
      </c>
      <c r="M105" s="758"/>
    </row>
    <row r="106" spans="1:13" s="235" customFormat="1" x14ac:dyDescent="0.2">
      <c r="A106" s="242">
        <v>2312</v>
      </c>
      <c r="B106" s="248" t="s">
        <v>64</v>
      </c>
      <c r="C106" s="202">
        <v>62471.77</v>
      </c>
      <c r="D106" s="202">
        <v>42866.533834586466</v>
      </c>
      <c r="E106" s="202">
        <v>62471.77</v>
      </c>
      <c r="F106" s="202">
        <v>42866.533834586466</v>
      </c>
      <c r="G106" s="555">
        <v>43543.33</v>
      </c>
      <c r="H106" s="189">
        <f t="shared" si="28"/>
        <v>676.79616541353607</v>
      </c>
      <c r="I106" s="182">
        <f t="shared" si="29"/>
        <v>1.5788450916632529E-2</v>
      </c>
      <c r="J106" s="758"/>
      <c r="K106" s="183">
        <f t="shared" si="30"/>
        <v>-18928.439999999995</v>
      </c>
      <c r="L106" s="184">
        <f t="shared" si="31"/>
        <v>-0.30299189537930488</v>
      </c>
      <c r="M106" s="758"/>
    </row>
    <row r="107" spans="1:13" s="246" customFormat="1" x14ac:dyDescent="0.2">
      <c r="A107" s="242">
        <v>2313</v>
      </c>
      <c r="B107" s="248" t="s">
        <v>431</v>
      </c>
      <c r="C107" s="202">
        <v>69918.63</v>
      </c>
      <c r="D107" s="202">
        <v>69918.63</v>
      </c>
      <c r="E107" s="202">
        <v>69918.63</v>
      </c>
      <c r="F107" s="202">
        <v>69918.63</v>
      </c>
      <c r="G107" s="555">
        <v>98.5</v>
      </c>
      <c r="H107" s="189">
        <f t="shared" si="28"/>
        <v>-69820.13</v>
      </c>
      <c r="I107" s="182">
        <f t="shared" si="29"/>
        <v>-0.99859121953619512</v>
      </c>
      <c r="J107" s="758"/>
      <c r="K107" s="183">
        <f t="shared" si="30"/>
        <v>-69820.13</v>
      </c>
      <c r="L107" s="184">
        <f t="shared" si="31"/>
        <v>-0.99859121953619512</v>
      </c>
      <c r="M107" s="758"/>
    </row>
    <row r="108" spans="1:13" s="235" customFormat="1" ht="178.5" customHeight="1" x14ac:dyDescent="0.2">
      <c r="A108" s="242">
        <v>2314</v>
      </c>
      <c r="B108" s="248" t="s">
        <v>432</v>
      </c>
      <c r="C108" s="202">
        <v>0</v>
      </c>
      <c r="D108" s="202">
        <v>0</v>
      </c>
      <c r="E108" s="202">
        <v>0</v>
      </c>
      <c r="F108" s="202">
        <v>0</v>
      </c>
      <c r="G108" s="555"/>
      <c r="H108" s="189">
        <f t="shared" si="28"/>
        <v>0</v>
      </c>
      <c r="I108" s="182" t="str">
        <f t="shared" si="29"/>
        <v>-</v>
      </c>
      <c r="J108" s="759"/>
      <c r="K108" s="183">
        <f t="shared" si="30"/>
        <v>0</v>
      </c>
      <c r="L108" s="184" t="str">
        <f t="shared" si="31"/>
        <v>-</v>
      </c>
      <c r="M108" s="759"/>
    </row>
    <row r="109" spans="1:13" s="235" customFormat="1" ht="43.5" customHeight="1" x14ac:dyDescent="0.2">
      <c r="A109" s="245">
        <v>2320</v>
      </c>
      <c r="B109" s="247" t="s">
        <v>65</v>
      </c>
      <c r="C109" s="191">
        <f t="shared" ref="C109:E109" si="35">SUM(C110:C112)</f>
        <v>1537.2</v>
      </c>
      <c r="D109" s="191">
        <v>2154.4499999999998</v>
      </c>
      <c r="E109" s="191">
        <f t="shared" si="35"/>
        <v>1537.2</v>
      </c>
      <c r="F109" s="191">
        <v>2154.4499999999998</v>
      </c>
      <c r="G109" s="553">
        <f t="shared" ref="G109" si="36">SUM(G110:G112)</f>
        <v>2462.83</v>
      </c>
      <c r="H109" s="189">
        <f t="shared" si="28"/>
        <v>308.38000000000011</v>
      </c>
      <c r="I109" s="182">
        <f t="shared" si="29"/>
        <v>0.14313629928752125</v>
      </c>
      <c r="J109" s="757" t="s">
        <v>810</v>
      </c>
      <c r="K109" s="189">
        <f t="shared" si="30"/>
        <v>925.62999999999988</v>
      </c>
      <c r="L109" s="182">
        <f t="shared" si="31"/>
        <v>0.60215326567785576</v>
      </c>
      <c r="M109" s="757" t="s">
        <v>835</v>
      </c>
    </row>
    <row r="110" spans="1:13" s="235" customFormat="1" x14ac:dyDescent="0.2">
      <c r="A110" s="242">
        <v>2321</v>
      </c>
      <c r="B110" s="248" t="s">
        <v>66</v>
      </c>
      <c r="C110" s="202">
        <v>0</v>
      </c>
      <c r="D110" s="202">
        <v>0</v>
      </c>
      <c r="E110" s="202">
        <v>0</v>
      </c>
      <c r="F110" s="202">
        <v>0</v>
      </c>
      <c r="G110" s="555"/>
      <c r="H110" s="189">
        <f t="shared" si="28"/>
        <v>0</v>
      </c>
      <c r="I110" s="182" t="str">
        <f t="shared" si="29"/>
        <v>-</v>
      </c>
      <c r="J110" s="758"/>
      <c r="K110" s="183">
        <f t="shared" si="30"/>
        <v>0</v>
      </c>
      <c r="L110" s="184" t="str">
        <f t="shared" si="31"/>
        <v>-</v>
      </c>
      <c r="M110" s="758"/>
    </row>
    <row r="111" spans="1:13" s="246" customFormat="1" x14ac:dyDescent="0.2">
      <c r="A111" s="242">
        <v>2322</v>
      </c>
      <c r="B111" s="248" t="s">
        <v>67</v>
      </c>
      <c r="C111" s="202">
        <v>1537.2</v>
      </c>
      <c r="D111" s="202">
        <v>2154.4499999999998</v>
      </c>
      <c r="E111" s="202">
        <v>1537.2</v>
      </c>
      <c r="F111" s="202">
        <v>2154.4499999999998</v>
      </c>
      <c r="G111" s="555">
        <v>2462.83</v>
      </c>
      <c r="H111" s="189">
        <f t="shared" si="28"/>
        <v>308.38000000000011</v>
      </c>
      <c r="I111" s="182">
        <f t="shared" si="29"/>
        <v>0.14313629928752125</v>
      </c>
      <c r="J111" s="758"/>
      <c r="K111" s="183">
        <f t="shared" si="30"/>
        <v>925.62999999999988</v>
      </c>
      <c r="L111" s="184">
        <f t="shared" si="31"/>
        <v>0.60215326567785576</v>
      </c>
      <c r="M111" s="758"/>
    </row>
    <row r="112" spans="1:13" s="246" customFormat="1" ht="31.5" customHeight="1" x14ac:dyDescent="0.2">
      <c r="A112" s="242">
        <v>2329</v>
      </c>
      <c r="B112" s="248" t="s">
        <v>68</v>
      </c>
      <c r="C112" s="202">
        <v>0</v>
      </c>
      <c r="D112" s="202">
        <v>0</v>
      </c>
      <c r="E112" s="202">
        <v>0</v>
      </c>
      <c r="F112" s="202">
        <v>0</v>
      </c>
      <c r="G112" s="555"/>
      <c r="H112" s="189">
        <f t="shared" si="28"/>
        <v>0</v>
      </c>
      <c r="I112" s="182" t="str">
        <f t="shared" si="29"/>
        <v>-</v>
      </c>
      <c r="J112" s="759"/>
      <c r="K112" s="183">
        <f t="shared" si="30"/>
        <v>0</v>
      </c>
      <c r="L112" s="184" t="str">
        <f t="shared" si="31"/>
        <v>-</v>
      </c>
      <c r="M112" s="759"/>
    </row>
    <row r="113" spans="1:13" s="235" customFormat="1" ht="19.5" customHeight="1" x14ac:dyDescent="0.2">
      <c r="A113" s="245">
        <v>2330</v>
      </c>
      <c r="B113" s="247" t="s">
        <v>69</v>
      </c>
      <c r="C113" s="201">
        <v>0</v>
      </c>
      <c r="D113" s="201">
        <v>0</v>
      </c>
      <c r="E113" s="201">
        <v>0</v>
      </c>
      <c r="F113" s="201">
        <v>0</v>
      </c>
      <c r="G113" s="556">
        <v>0</v>
      </c>
      <c r="H113" s="189">
        <f t="shared" si="28"/>
        <v>0</v>
      </c>
      <c r="I113" s="182" t="str">
        <f t="shared" si="29"/>
        <v>-</v>
      </c>
      <c r="J113" s="332"/>
      <c r="K113" s="185">
        <f t="shared" si="30"/>
        <v>0</v>
      </c>
      <c r="L113" s="182" t="str">
        <f t="shared" si="31"/>
        <v>-</v>
      </c>
      <c r="M113" s="332"/>
    </row>
    <row r="114" spans="1:13" s="235" customFormat="1" ht="93.75" customHeight="1" x14ac:dyDescent="0.2">
      <c r="A114" s="245">
        <v>2340</v>
      </c>
      <c r="B114" s="247" t="s">
        <v>70</v>
      </c>
      <c r="C114" s="201">
        <f t="shared" ref="C114:E114" si="37">C115+C121+C124</f>
        <v>4806602.9000000004</v>
      </c>
      <c r="D114" s="201">
        <v>5063154.943500001</v>
      </c>
      <c r="E114" s="201">
        <f t="shared" si="37"/>
        <v>4806602.9000000004</v>
      </c>
      <c r="F114" s="201">
        <v>5063154.943500001</v>
      </c>
      <c r="G114" s="556">
        <f t="shared" ref="G114" si="38">G115+G121+G124</f>
        <v>5393959.8599999994</v>
      </c>
      <c r="H114" s="189">
        <f t="shared" si="28"/>
        <v>330804.91649999842</v>
      </c>
      <c r="I114" s="182">
        <f t="shared" si="29"/>
        <v>6.5335728452213498E-2</v>
      </c>
      <c r="J114" s="337"/>
      <c r="K114" s="185">
        <f t="shared" si="30"/>
        <v>587356.95999999903</v>
      </c>
      <c r="L114" s="182">
        <f t="shared" si="31"/>
        <v>0.12219793734156799</v>
      </c>
      <c r="M114" s="337"/>
    </row>
    <row r="115" spans="1:13" s="235" customFormat="1" ht="45" customHeight="1" x14ac:dyDescent="0.2">
      <c r="A115" s="233">
        <v>2341</v>
      </c>
      <c r="B115" s="247" t="s">
        <v>71</v>
      </c>
      <c r="C115" s="191">
        <f t="shared" ref="C115:E115" si="39">SUM(C116:C120)</f>
        <v>593328.36</v>
      </c>
      <c r="D115" s="191">
        <v>622687.70669999998</v>
      </c>
      <c r="E115" s="191">
        <f t="shared" si="39"/>
        <v>593328.36</v>
      </c>
      <c r="F115" s="191">
        <v>622687.70669999998</v>
      </c>
      <c r="G115" s="553">
        <f t="shared" ref="G115" si="40">SUM(G116:G120)</f>
        <v>671312.74</v>
      </c>
      <c r="H115" s="318">
        <f t="shared" si="28"/>
        <v>48625.03330000001</v>
      </c>
      <c r="I115" s="319">
        <f t="shared" si="29"/>
        <v>7.8088956593817413E-2</v>
      </c>
      <c r="J115" s="338"/>
      <c r="K115" s="318">
        <f t="shared" si="30"/>
        <v>77984.38</v>
      </c>
      <c r="L115" s="319">
        <f t="shared" si="31"/>
        <v>0.13143545000950232</v>
      </c>
      <c r="M115" s="338"/>
    </row>
    <row r="116" spans="1:13" s="235" customFormat="1" ht="139.5" customHeight="1" x14ac:dyDescent="0.2">
      <c r="A116" s="242">
        <v>23411</v>
      </c>
      <c r="B116" s="250" t="s">
        <v>327</v>
      </c>
      <c r="C116" s="211">
        <v>459911.08</v>
      </c>
      <c r="D116" s="211">
        <v>482850.26490000007</v>
      </c>
      <c r="E116" s="211">
        <v>459911.08</v>
      </c>
      <c r="F116" s="211">
        <v>482850.26490000007</v>
      </c>
      <c r="G116" s="554">
        <f>65.2+543933.56</f>
        <v>543998.76</v>
      </c>
      <c r="H116" s="189">
        <f t="shared" si="28"/>
        <v>61148.495099999942</v>
      </c>
      <c r="I116" s="182">
        <f t="shared" si="29"/>
        <v>0.12664069908435072</v>
      </c>
      <c r="J116" s="658" t="s">
        <v>773</v>
      </c>
      <c r="K116" s="183">
        <f t="shared" si="30"/>
        <v>84087.679999999993</v>
      </c>
      <c r="L116" s="184">
        <f t="shared" si="31"/>
        <v>0.18283464708003988</v>
      </c>
      <c r="M116" s="658" t="s">
        <v>836</v>
      </c>
    </row>
    <row r="117" spans="1:13" s="235" customFormat="1" x14ac:dyDescent="0.2">
      <c r="A117" s="242">
        <v>23412</v>
      </c>
      <c r="B117" s="250" t="s">
        <v>343</v>
      </c>
      <c r="C117" s="211">
        <v>40890.32</v>
      </c>
      <c r="D117" s="211">
        <v>42116.7333</v>
      </c>
      <c r="E117" s="211">
        <v>40890.32</v>
      </c>
      <c r="F117" s="211">
        <v>42116.7333</v>
      </c>
      <c r="G117" s="554">
        <v>41637.96</v>
      </c>
      <c r="H117" s="189">
        <f t="shared" si="28"/>
        <v>-478.77330000000075</v>
      </c>
      <c r="I117" s="182">
        <f t="shared" si="29"/>
        <v>-1.1367769114229967E-2</v>
      </c>
      <c r="J117" s="243"/>
      <c r="K117" s="183">
        <f t="shared" si="30"/>
        <v>747.63999999999942</v>
      </c>
      <c r="L117" s="184">
        <f t="shared" si="31"/>
        <v>1.8284033971854449E-2</v>
      </c>
      <c r="M117" s="243"/>
    </row>
    <row r="118" spans="1:13" s="235" customFormat="1" x14ac:dyDescent="0.2">
      <c r="A118" s="242">
        <v>23413</v>
      </c>
      <c r="B118" s="250" t="s">
        <v>342</v>
      </c>
      <c r="C118" s="211">
        <v>92526.96</v>
      </c>
      <c r="D118" s="211">
        <v>97720.708500000022</v>
      </c>
      <c r="E118" s="211">
        <v>92526.96</v>
      </c>
      <c r="F118" s="211">
        <v>97720.708500000022</v>
      </c>
      <c r="G118" s="554">
        <v>85676.02</v>
      </c>
      <c r="H118" s="189">
        <f t="shared" si="28"/>
        <v>-12044.688500000018</v>
      </c>
      <c r="I118" s="182">
        <f t="shared" si="29"/>
        <v>-0.12325625432811936</v>
      </c>
      <c r="J118" s="659" t="s">
        <v>674</v>
      </c>
      <c r="K118" s="183">
        <f t="shared" si="30"/>
        <v>-6850.9400000000023</v>
      </c>
      <c r="L118" s="184">
        <f t="shared" si="31"/>
        <v>-7.4042635789612038E-2</v>
      </c>
      <c r="M118" s="659" t="s">
        <v>674</v>
      </c>
    </row>
    <row r="119" spans="1:13" s="235" customFormat="1" ht="31.5" x14ac:dyDescent="0.2">
      <c r="A119" s="242">
        <v>23415</v>
      </c>
      <c r="B119" s="250" t="s">
        <v>328</v>
      </c>
      <c r="C119" s="211">
        <v>0</v>
      </c>
      <c r="D119" s="202">
        <v>0</v>
      </c>
      <c r="E119" s="211">
        <v>0</v>
      </c>
      <c r="F119" s="202">
        <v>0</v>
      </c>
      <c r="G119" s="554"/>
      <c r="H119" s="189">
        <f t="shared" si="28"/>
        <v>0</v>
      </c>
      <c r="I119" s="182" t="str">
        <f t="shared" si="29"/>
        <v>-</v>
      </c>
      <c r="J119" s="339"/>
      <c r="K119" s="183">
        <f t="shared" si="30"/>
        <v>0</v>
      </c>
      <c r="L119" s="184" t="str">
        <f t="shared" si="31"/>
        <v>-</v>
      </c>
      <c r="M119" s="243"/>
    </row>
    <row r="120" spans="1:13" s="235" customFormat="1" ht="54.75" customHeight="1" x14ac:dyDescent="0.2">
      <c r="A120" s="242">
        <v>23416</v>
      </c>
      <c r="B120" s="250" t="s">
        <v>329</v>
      </c>
      <c r="C120" s="211">
        <v>0</v>
      </c>
      <c r="D120" s="202">
        <v>0</v>
      </c>
      <c r="E120" s="211">
        <v>0</v>
      </c>
      <c r="F120" s="202">
        <v>0</v>
      </c>
      <c r="G120" s="554"/>
      <c r="H120" s="189">
        <f t="shared" si="28"/>
        <v>0</v>
      </c>
      <c r="I120" s="182" t="str">
        <f t="shared" si="29"/>
        <v>-</v>
      </c>
      <c r="J120" s="340"/>
      <c r="K120" s="183">
        <f t="shared" si="30"/>
        <v>0</v>
      </c>
      <c r="L120" s="184" t="str">
        <f t="shared" si="31"/>
        <v>-</v>
      </c>
      <c r="M120" s="243"/>
    </row>
    <row r="121" spans="1:13" s="246" customFormat="1" ht="19.5" customHeight="1" x14ac:dyDescent="0.2">
      <c r="A121" s="233">
        <v>2343</v>
      </c>
      <c r="B121" s="247" t="s">
        <v>354</v>
      </c>
      <c r="C121" s="191">
        <f t="shared" ref="C121:E121" si="41">SUM(C122:C123)</f>
        <v>162426.65</v>
      </c>
      <c r="D121" s="191">
        <v>168500.96429999999</v>
      </c>
      <c r="E121" s="191">
        <f t="shared" si="41"/>
        <v>162426.65</v>
      </c>
      <c r="F121" s="191">
        <v>168500.96429999999</v>
      </c>
      <c r="G121" s="553">
        <f t="shared" ref="G121" si="42">SUM(G122:G123)</f>
        <v>92718.11</v>
      </c>
      <c r="H121" s="189">
        <f t="shared" si="28"/>
        <v>-75782.854299999992</v>
      </c>
      <c r="I121" s="182">
        <f t="shared" si="29"/>
        <v>-0.44974730331558105</v>
      </c>
      <c r="J121" s="754" t="s">
        <v>662</v>
      </c>
      <c r="K121" s="251">
        <f t="shared" si="30"/>
        <v>-69708.539999999994</v>
      </c>
      <c r="L121" s="182">
        <f t="shared" si="31"/>
        <v>-0.42916935121176231</v>
      </c>
      <c r="M121" s="754" t="s">
        <v>837</v>
      </c>
    </row>
    <row r="122" spans="1:13" s="246" customFormat="1" x14ac:dyDescent="0.2">
      <c r="A122" s="242">
        <v>23431</v>
      </c>
      <c r="B122" s="250" t="s">
        <v>284</v>
      </c>
      <c r="C122" s="211">
        <v>162426.65</v>
      </c>
      <c r="D122" s="211">
        <v>168500.96429999999</v>
      </c>
      <c r="E122" s="211">
        <v>162426.65</v>
      </c>
      <c r="F122" s="211">
        <v>168500.96429999999</v>
      </c>
      <c r="G122" s="554">
        <v>92718.11</v>
      </c>
      <c r="H122" s="189">
        <f t="shared" si="28"/>
        <v>-75782.854299999992</v>
      </c>
      <c r="I122" s="182">
        <f t="shared" si="29"/>
        <v>-0.44974730331558105</v>
      </c>
      <c r="J122" s="755"/>
      <c r="K122" s="183">
        <f t="shared" si="30"/>
        <v>-69708.539999999994</v>
      </c>
      <c r="L122" s="184">
        <f t="shared" si="31"/>
        <v>-0.42916935121176231</v>
      </c>
      <c r="M122" s="755"/>
    </row>
    <row r="123" spans="1:13" s="246" customFormat="1" ht="95.25" customHeight="1" x14ac:dyDescent="0.2">
      <c r="A123" s="242">
        <v>23432</v>
      </c>
      <c r="B123" s="250" t="s">
        <v>288</v>
      </c>
      <c r="C123" s="211">
        <v>0</v>
      </c>
      <c r="D123" s="202">
        <v>0</v>
      </c>
      <c r="E123" s="211">
        <v>0</v>
      </c>
      <c r="F123" s="202">
        <v>0</v>
      </c>
      <c r="G123" s="554"/>
      <c r="H123" s="189">
        <f t="shared" si="28"/>
        <v>0</v>
      </c>
      <c r="I123" s="182" t="str">
        <f t="shared" si="29"/>
        <v>-</v>
      </c>
      <c r="J123" s="756"/>
      <c r="K123" s="183">
        <f t="shared" si="30"/>
        <v>0</v>
      </c>
      <c r="L123" s="184" t="str">
        <f t="shared" si="31"/>
        <v>-</v>
      </c>
      <c r="M123" s="756"/>
    </row>
    <row r="124" spans="1:13" s="246" customFormat="1" ht="96" customHeight="1" x14ac:dyDescent="0.2">
      <c r="A124" s="233">
        <v>2344</v>
      </c>
      <c r="B124" s="247" t="s">
        <v>356</v>
      </c>
      <c r="C124" s="191">
        <f>SUM(C125:C127)</f>
        <v>4050847.89</v>
      </c>
      <c r="D124" s="191">
        <v>4271966.2725</v>
      </c>
      <c r="E124" s="191">
        <f>SUM(E125:E127)</f>
        <v>4050847.89</v>
      </c>
      <c r="F124" s="191">
        <v>4271966.2725</v>
      </c>
      <c r="G124" s="553">
        <f t="shared" ref="G124" si="43">SUM(G125:G127)</f>
        <v>4629929.01</v>
      </c>
      <c r="H124" s="189">
        <f t="shared" si="28"/>
        <v>357962.73749999981</v>
      </c>
      <c r="I124" s="182">
        <f t="shared" si="29"/>
        <v>8.3793437182385855E-2</v>
      </c>
      <c r="J124" s="341"/>
      <c r="K124" s="189">
        <f t="shared" si="30"/>
        <v>579081.11999999965</v>
      </c>
      <c r="L124" s="182">
        <f t="shared" si="31"/>
        <v>0.14295306457434018</v>
      </c>
      <c r="M124" s="335"/>
    </row>
    <row r="125" spans="1:13" s="246" customFormat="1" ht="28.5" customHeight="1" x14ac:dyDescent="0.2">
      <c r="A125" s="242">
        <v>23441</v>
      </c>
      <c r="B125" s="248" t="s">
        <v>285</v>
      </c>
      <c r="C125" s="202">
        <v>999250.89</v>
      </c>
      <c r="D125" s="202">
        <v>1060392.1094</v>
      </c>
      <c r="E125" s="202">
        <v>999250.89</v>
      </c>
      <c r="F125" s="202">
        <v>1060392.1094</v>
      </c>
      <c r="G125" s="555">
        <v>1116739.8400000001</v>
      </c>
      <c r="H125" s="189">
        <f t="shared" si="28"/>
        <v>56347.730600000126</v>
      </c>
      <c r="I125" s="182">
        <f t="shared" si="29"/>
        <v>5.313857968245659E-2</v>
      </c>
      <c r="J125" s="754" t="s">
        <v>811</v>
      </c>
      <c r="K125" s="183">
        <f t="shared" si="30"/>
        <v>117488.95000000007</v>
      </c>
      <c r="L125" s="184">
        <f t="shared" si="31"/>
        <v>0.11757702812754069</v>
      </c>
      <c r="M125" s="754" t="s">
        <v>838</v>
      </c>
    </row>
    <row r="126" spans="1:13" s="246" customFormat="1" ht="66" customHeight="1" x14ac:dyDescent="0.2">
      <c r="A126" s="242">
        <v>23442</v>
      </c>
      <c r="B126" s="248" t="s">
        <v>286</v>
      </c>
      <c r="C126" s="202">
        <v>3024273.23</v>
      </c>
      <c r="D126" s="202">
        <v>3179387.68</v>
      </c>
      <c r="E126" s="202">
        <v>3024273.23</v>
      </c>
      <c r="F126" s="202">
        <v>3179387.68</v>
      </c>
      <c r="G126" s="555">
        <v>3479545.21</v>
      </c>
      <c r="H126" s="189">
        <f t="shared" si="28"/>
        <v>300157.5299999998</v>
      </c>
      <c r="I126" s="182">
        <f t="shared" si="29"/>
        <v>9.4407338837017754E-2</v>
      </c>
      <c r="J126" s="756"/>
      <c r="K126" s="183">
        <f t="shared" si="30"/>
        <v>455271.98</v>
      </c>
      <c r="L126" s="184">
        <f t="shared" si="31"/>
        <v>0.15053930163578508</v>
      </c>
      <c r="M126" s="756"/>
    </row>
    <row r="127" spans="1:13" s="246" customFormat="1" ht="213.75" customHeight="1" x14ac:dyDescent="0.2">
      <c r="A127" s="242">
        <v>23443</v>
      </c>
      <c r="B127" s="248" t="s">
        <v>287</v>
      </c>
      <c r="C127" s="202">
        <v>27323.77</v>
      </c>
      <c r="D127" s="202">
        <v>32186.483099999998</v>
      </c>
      <c r="E127" s="202">
        <v>27323.77</v>
      </c>
      <c r="F127" s="202">
        <v>32186.483099999998</v>
      </c>
      <c r="G127" s="555">
        <v>33643.96</v>
      </c>
      <c r="H127" s="189">
        <f t="shared" si="28"/>
        <v>1457.4769000000015</v>
      </c>
      <c r="I127" s="182">
        <f t="shared" si="29"/>
        <v>4.5282266331235228E-2</v>
      </c>
      <c r="J127" s="341"/>
      <c r="K127" s="183">
        <f t="shared" si="30"/>
        <v>6320.1899999999987</v>
      </c>
      <c r="L127" s="184">
        <f t="shared" si="31"/>
        <v>0.23130739279389331</v>
      </c>
      <c r="M127" s="662" t="s">
        <v>772</v>
      </c>
    </row>
    <row r="128" spans="1:13" s="235" customFormat="1" ht="128.25" customHeight="1" x14ac:dyDescent="0.2">
      <c r="A128" s="245">
        <v>2350</v>
      </c>
      <c r="B128" s="247" t="s">
        <v>433</v>
      </c>
      <c r="C128" s="201">
        <v>14472.24</v>
      </c>
      <c r="D128" s="201">
        <v>14471.869999999999</v>
      </c>
      <c r="E128" s="201">
        <v>14472.24</v>
      </c>
      <c r="F128" s="201">
        <v>14471.869999999999</v>
      </c>
      <c r="G128" s="556">
        <v>15818.65</v>
      </c>
      <c r="H128" s="189">
        <f t="shared" si="28"/>
        <v>1346.7800000000007</v>
      </c>
      <c r="I128" s="182">
        <f t="shared" si="29"/>
        <v>9.306191943404693E-2</v>
      </c>
      <c r="J128" s="654" t="s">
        <v>812</v>
      </c>
      <c r="K128" s="185">
        <f t="shared" si="30"/>
        <v>1346.4099999999999</v>
      </c>
      <c r="L128" s="182">
        <f t="shared" si="31"/>
        <v>9.3033974008170109E-2</v>
      </c>
      <c r="M128" s="654" t="s">
        <v>839</v>
      </c>
    </row>
    <row r="129" spans="1:13" s="235" customFormat="1" ht="56.25" customHeight="1" x14ac:dyDescent="0.2">
      <c r="A129" s="245">
        <v>2360</v>
      </c>
      <c r="B129" s="247" t="s">
        <v>434</v>
      </c>
      <c r="C129" s="191">
        <f t="shared" ref="C129:E129" si="44">SUM(C130:C135)</f>
        <v>158761.63</v>
      </c>
      <c r="D129" s="191">
        <v>176872.16739999998</v>
      </c>
      <c r="E129" s="191">
        <f t="shared" si="44"/>
        <v>158761.63</v>
      </c>
      <c r="F129" s="191">
        <v>176872.16739999998</v>
      </c>
      <c r="G129" s="553">
        <f>SUM(G130:G135)</f>
        <v>216175.8</v>
      </c>
      <c r="H129" s="189">
        <f t="shared" si="28"/>
        <v>39303.632600000012</v>
      </c>
      <c r="I129" s="182">
        <f t="shared" si="29"/>
        <v>0.22221490909371883</v>
      </c>
      <c r="J129" s="757" t="s">
        <v>813</v>
      </c>
      <c r="K129" s="189">
        <f t="shared" si="30"/>
        <v>57414.169999999984</v>
      </c>
      <c r="L129" s="182">
        <f t="shared" si="31"/>
        <v>0.3616375694807365</v>
      </c>
      <c r="M129" s="757" t="s">
        <v>840</v>
      </c>
    </row>
    <row r="130" spans="1:13" s="235" customFormat="1" x14ac:dyDescent="0.2">
      <c r="A130" s="242">
        <v>2361</v>
      </c>
      <c r="B130" s="248" t="s">
        <v>72</v>
      </c>
      <c r="C130" s="202">
        <v>15905.26</v>
      </c>
      <c r="D130" s="202">
        <v>18565.419999999995</v>
      </c>
      <c r="E130" s="202">
        <v>15905.26</v>
      </c>
      <c r="F130" s="202">
        <v>18565.419999999995</v>
      </c>
      <c r="G130" s="555">
        <v>10106.549999999999</v>
      </c>
      <c r="H130" s="189">
        <f t="shared" si="28"/>
        <v>-8458.8699999999953</v>
      </c>
      <c r="I130" s="182">
        <f t="shared" si="29"/>
        <v>-0.45562502760508505</v>
      </c>
      <c r="J130" s="758"/>
      <c r="K130" s="183">
        <f t="shared" si="30"/>
        <v>-5798.7100000000009</v>
      </c>
      <c r="L130" s="184">
        <f t="shared" si="31"/>
        <v>-0.36457813327163474</v>
      </c>
      <c r="M130" s="758"/>
    </row>
    <row r="131" spans="1:13" s="235" customFormat="1" ht="31.5" customHeight="1" x14ac:dyDescent="0.2">
      <c r="A131" s="242">
        <v>2362</v>
      </c>
      <c r="B131" s="248" t="s">
        <v>73</v>
      </c>
      <c r="C131" s="202">
        <v>796.11</v>
      </c>
      <c r="D131" s="202">
        <v>796.56</v>
      </c>
      <c r="E131" s="202">
        <v>796.11</v>
      </c>
      <c r="F131" s="202">
        <v>796.56</v>
      </c>
      <c r="G131" s="555">
        <v>217.35</v>
      </c>
      <c r="H131" s="189">
        <f t="shared" ref="H131:H162" si="45">G131-F131</f>
        <v>-579.20999999999992</v>
      </c>
      <c r="I131" s="182">
        <f t="shared" ref="I131:I162" si="46">IFERROR(H131/ABS(F131), "-")</f>
        <v>-0.72713919855378117</v>
      </c>
      <c r="J131" s="758"/>
      <c r="K131" s="183">
        <f t="shared" ref="K131:K162" si="47">G131-E131</f>
        <v>-578.76</v>
      </c>
      <c r="L131" s="184">
        <f t="shared" ref="L131:L162" si="48">IFERROR(K131/ABS(E131), "-")</f>
        <v>-0.72698496438934312</v>
      </c>
      <c r="M131" s="758"/>
    </row>
    <row r="132" spans="1:13" s="235" customFormat="1" x14ac:dyDescent="0.2">
      <c r="A132" s="242">
        <v>2363</v>
      </c>
      <c r="B132" s="248" t="s">
        <v>74</v>
      </c>
      <c r="C132" s="202">
        <v>142060.26</v>
      </c>
      <c r="D132" s="202">
        <v>157510.1874</v>
      </c>
      <c r="E132" s="202">
        <v>142060.26</v>
      </c>
      <c r="F132" s="202">
        <v>157510.1874</v>
      </c>
      <c r="G132" s="555">
        <v>205851.9</v>
      </c>
      <c r="H132" s="189">
        <f t="shared" si="45"/>
        <v>48341.712599999999</v>
      </c>
      <c r="I132" s="182">
        <f t="shared" si="46"/>
        <v>0.30691165694086403</v>
      </c>
      <c r="J132" s="758"/>
      <c r="K132" s="183">
        <f t="shared" si="47"/>
        <v>63791.639999999985</v>
      </c>
      <c r="L132" s="184">
        <f t="shared" si="48"/>
        <v>0.44904634132022553</v>
      </c>
      <c r="M132" s="758"/>
    </row>
    <row r="133" spans="1:13" s="235" customFormat="1" x14ac:dyDescent="0.2">
      <c r="A133" s="242">
        <v>2364</v>
      </c>
      <c r="B133" s="248" t="s">
        <v>435</v>
      </c>
      <c r="C133" s="202">
        <v>0</v>
      </c>
      <c r="D133" s="202">
        <v>0</v>
      </c>
      <c r="E133" s="202">
        <v>0</v>
      </c>
      <c r="F133" s="202">
        <v>0</v>
      </c>
      <c r="G133" s="555"/>
      <c r="H133" s="189">
        <f t="shared" si="45"/>
        <v>0</v>
      </c>
      <c r="I133" s="182" t="str">
        <f t="shared" si="46"/>
        <v>-</v>
      </c>
      <c r="J133" s="758"/>
      <c r="K133" s="183">
        <f t="shared" si="47"/>
        <v>0</v>
      </c>
      <c r="L133" s="184" t="str">
        <f t="shared" si="48"/>
        <v>-</v>
      </c>
      <c r="M133" s="758"/>
    </row>
    <row r="134" spans="1:13" s="246" customFormat="1" ht="47.25" customHeight="1" x14ac:dyDescent="0.2">
      <c r="A134" s="242">
        <v>2366</v>
      </c>
      <c r="B134" s="248" t="s">
        <v>75</v>
      </c>
      <c r="C134" s="202">
        <v>0</v>
      </c>
      <c r="D134" s="202">
        <v>0</v>
      </c>
      <c r="E134" s="202">
        <v>0</v>
      </c>
      <c r="F134" s="202">
        <v>0</v>
      </c>
      <c r="G134" s="555"/>
      <c r="H134" s="189">
        <f t="shared" si="45"/>
        <v>0</v>
      </c>
      <c r="I134" s="182" t="str">
        <f t="shared" si="46"/>
        <v>-</v>
      </c>
      <c r="J134" s="758"/>
      <c r="K134" s="183">
        <f t="shared" si="47"/>
        <v>0</v>
      </c>
      <c r="L134" s="184" t="str">
        <f t="shared" si="48"/>
        <v>-</v>
      </c>
      <c r="M134" s="758"/>
    </row>
    <row r="135" spans="1:13" s="246" customFormat="1" ht="234.75" customHeight="1" x14ac:dyDescent="0.2">
      <c r="A135" s="242">
        <v>2369</v>
      </c>
      <c r="B135" s="248" t="s">
        <v>163</v>
      </c>
      <c r="C135" s="202">
        <v>0</v>
      </c>
      <c r="D135" s="202">
        <v>0</v>
      </c>
      <c r="E135" s="202">
        <v>0</v>
      </c>
      <c r="F135" s="202">
        <v>0</v>
      </c>
      <c r="G135" s="555">
        <v>0</v>
      </c>
      <c r="H135" s="189">
        <f t="shared" si="45"/>
        <v>0</v>
      </c>
      <c r="I135" s="182" t="str">
        <f t="shared" si="46"/>
        <v>-</v>
      </c>
      <c r="J135" s="759"/>
      <c r="K135" s="183">
        <f t="shared" si="47"/>
        <v>0</v>
      </c>
      <c r="L135" s="184" t="str">
        <f t="shared" si="48"/>
        <v>-</v>
      </c>
      <c r="M135" s="759"/>
    </row>
    <row r="136" spans="1:13" s="235" customFormat="1" ht="19.5" customHeight="1" x14ac:dyDescent="0.2">
      <c r="A136" s="245">
        <v>2370</v>
      </c>
      <c r="B136" s="247" t="s">
        <v>76</v>
      </c>
      <c r="C136" s="201">
        <v>0</v>
      </c>
      <c r="D136" s="201">
        <v>0</v>
      </c>
      <c r="E136" s="201">
        <v>0</v>
      </c>
      <c r="F136" s="201">
        <v>0</v>
      </c>
      <c r="G136" s="556">
        <v>0</v>
      </c>
      <c r="H136" s="189">
        <f t="shared" si="45"/>
        <v>0</v>
      </c>
      <c r="I136" s="182" t="str">
        <f t="shared" si="46"/>
        <v>-</v>
      </c>
      <c r="J136" s="332"/>
      <c r="K136" s="185">
        <f t="shared" si="47"/>
        <v>0</v>
      </c>
      <c r="L136" s="182" t="str">
        <f t="shared" si="48"/>
        <v>-</v>
      </c>
      <c r="M136" s="332"/>
    </row>
    <row r="137" spans="1:13" s="235" customFormat="1" ht="42.75" customHeight="1" x14ac:dyDescent="0.2">
      <c r="A137" s="245">
        <v>2380</v>
      </c>
      <c r="B137" s="247" t="s">
        <v>77</v>
      </c>
      <c r="C137" s="201">
        <v>0</v>
      </c>
      <c r="D137" s="201">
        <v>0</v>
      </c>
      <c r="E137" s="201">
        <v>0</v>
      </c>
      <c r="F137" s="201">
        <v>0</v>
      </c>
      <c r="G137" s="556">
        <v>0</v>
      </c>
      <c r="H137" s="189">
        <f t="shared" si="45"/>
        <v>0</v>
      </c>
      <c r="I137" s="182" t="str">
        <f t="shared" si="46"/>
        <v>-</v>
      </c>
      <c r="J137" s="332"/>
      <c r="K137" s="185">
        <f t="shared" si="47"/>
        <v>0</v>
      </c>
      <c r="L137" s="182" t="str">
        <f t="shared" si="48"/>
        <v>-</v>
      </c>
      <c r="M137" s="332"/>
    </row>
    <row r="138" spans="1:13" x14ac:dyDescent="0.2">
      <c r="A138" s="233">
        <v>2390</v>
      </c>
      <c r="B138" s="247" t="s">
        <v>78</v>
      </c>
      <c r="C138" s="201">
        <v>0</v>
      </c>
      <c r="D138" s="201">
        <v>0</v>
      </c>
      <c r="E138" s="201">
        <v>0</v>
      </c>
      <c r="F138" s="201">
        <v>0</v>
      </c>
      <c r="G138" s="556">
        <v>0</v>
      </c>
      <c r="H138" s="189">
        <f t="shared" si="45"/>
        <v>0</v>
      </c>
      <c r="I138" s="182" t="str">
        <f t="shared" si="46"/>
        <v>-</v>
      </c>
      <c r="J138" s="333"/>
      <c r="K138" s="185">
        <f t="shared" si="47"/>
        <v>0</v>
      </c>
      <c r="L138" s="182" t="str">
        <f t="shared" si="48"/>
        <v>-</v>
      </c>
      <c r="M138" s="333"/>
    </row>
    <row r="139" spans="1:13" ht="37.5" customHeight="1" x14ac:dyDescent="0.2">
      <c r="A139" s="233">
        <v>2500</v>
      </c>
      <c r="B139" s="247" t="s">
        <v>436</v>
      </c>
      <c r="C139" s="191">
        <f t="shared" ref="C139:E139" si="49">SUM(C140+C148)</f>
        <v>1038762.5700000001</v>
      </c>
      <c r="D139" s="191">
        <v>1143102.4725776564</v>
      </c>
      <c r="E139" s="191">
        <f t="shared" si="49"/>
        <v>1038762.5700000001</v>
      </c>
      <c r="F139" s="191">
        <v>1143102.4725776564</v>
      </c>
      <c r="G139" s="553">
        <f t="shared" ref="G139" si="50">SUM(G140+G148)</f>
        <v>1513731.66</v>
      </c>
      <c r="H139" s="189">
        <f t="shared" si="45"/>
        <v>370629.18742234353</v>
      </c>
      <c r="I139" s="182">
        <f t="shared" si="46"/>
        <v>0.32423093844472889</v>
      </c>
      <c r="J139" s="331"/>
      <c r="K139" s="189">
        <f t="shared" si="47"/>
        <v>474969.08999999985</v>
      </c>
      <c r="L139" s="182">
        <f t="shared" si="48"/>
        <v>0.45724509499798383</v>
      </c>
      <c r="M139" s="331"/>
    </row>
    <row r="140" spans="1:13" ht="19.5" customHeight="1" x14ac:dyDescent="0.2">
      <c r="A140" s="233">
        <v>2510</v>
      </c>
      <c r="B140" s="247" t="s">
        <v>437</v>
      </c>
      <c r="C140" s="191">
        <f t="shared" ref="C140:E140" si="51">SUM(C141:C147)</f>
        <v>1038762.5700000001</v>
      </c>
      <c r="D140" s="191">
        <v>1143102.4725776564</v>
      </c>
      <c r="E140" s="191">
        <f t="shared" si="51"/>
        <v>1038762.5700000001</v>
      </c>
      <c r="F140" s="191">
        <v>1143102.4725776564</v>
      </c>
      <c r="G140" s="553">
        <f t="shared" ref="G140" si="52">SUM(G141:G147)</f>
        <v>1513731.66</v>
      </c>
      <c r="H140" s="189">
        <f t="shared" si="45"/>
        <v>370629.18742234353</v>
      </c>
      <c r="I140" s="182">
        <f t="shared" si="46"/>
        <v>0.32423093844472889</v>
      </c>
      <c r="J140" s="757" t="s">
        <v>814</v>
      </c>
      <c r="K140" s="189">
        <f t="shared" si="47"/>
        <v>474969.08999999985</v>
      </c>
      <c r="L140" s="182">
        <f t="shared" si="48"/>
        <v>0.45724509499798383</v>
      </c>
      <c r="M140" s="757" t="s">
        <v>841</v>
      </c>
    </row>
    <row r="141" spans="1:13" ht="55.5" customHeight="1" x14ac:dyDescent="0.2">
      <c r="A141" s="242">
        <v>2512</v>
      </c>
      <c r="B141" s="248" t="s">
        <v>79</v>
      </c>
      <c r="C141" s="202">
        <v>1013853.91</v>
      </c>
      <c r="D141" s="202">
        <v>1115775.1225776563</v>
      </c>
      <c r="E141" s="202">
        <v>1013853.91</v>
      </c>
      <c r="F141" s="202">
        <v>1115775.1225776563</v>
      </c>
      <c r="G141" s="555">
        <v>1493413.01</v>
      </c>
      <c r="H141" s="189">
        <f t="shared" si="45"/>
        <v>377637.88742234372</v>
      </c>
      <c r="I141" s="182">
        <f t="shared" si="46"/>
        <v>0.33845340318210998</v>
      </c>
      <c r="J141" s="758"/>
      <c r="K141" s="183">
        <f t="shared" si="47"/>
        <v>479559.1</v>
      </c>
      <c r="L141" s="184">
        <f t="shared" si="48"/>
        <v>0.47300611584167973</v>
      </c>
      <c r="M141" s="758"/>
    </row>
    <row r="142" spans="1:13" ht="55.5" customHeight="1" x14ac:dyDescent="0.2">
      <c r="A142" s="242">
        <v>2513</v>
      </c>
      <c r="B142" s="248" t="s">
        <v>438</v>
      </c>
      <c r="C142" s="202">
        <f>8961.89+2644.1</f>
        <v>11605.99</v>
      </c>
      <c r="D142" s="202">
        <v>11605.99</v>
      </c>
      <c r="E142" s="202">
        <f>8961.89+2644.1</f>
        <v>11605.99</v>
      </c>
      <c r="F142" s="202">
        <v>11605.99</v>
      </c>
      <c r="G142" s="555">
        <f>8961.89+2645.7</f>
        <v>11607.59</v>
      </c>
      <c r="H142" s="189">
        <f t="shared" si="45"/>
        <v>1.6000000000003638</v>
      </c>
      <c r="I142" s="182">
        <f t="shared" si="46"/>
        <v>1.3785984651032475E-4</v>
      </c>
      <c r="J142" s="758"/>
      <c r="K142" s="183">
        <f t="shared" si="47"/>
        <v>1.6000000000003638</v>
      </c>
      <c r="L142" s="184">
        <f t="shared" si="48"/>
        <v>1.3785984651032475E-4</v>
      </c>
      <c r="M142" s="758"/>
    </row>
    <row r="143" spans="1:13" ht="55.5" customHeight="1" x14ac:dyDescent="0.2">
      <c r="A143" s="242">
        <v>2514</v>
      </c>
      <c r="B143" s="248" t="s">
        <v>80</v>
      </c>
      <c r="C143" s="202">
        <v>0</v>
      </c>
      <c r="D143" s="202">
        <v>0</v>
      </c>
      <c r="E143" s="202">
        <v>0</v>
      </c>
      <c r="F143" s="202">
        <v>0</v>
      </c>
      <c r="G143" s="555"/>
      <c r="H143" s="189">
        <f t="shared" si="45"/>
        <v>0</v>
      </c>
      <c r="I143" s="182" t="str">
        <f t="shared" si="46"/>
        <v>-</v>
      </c>
      <c r="J143" s="758"/>
      <c r="K143" s="183">
        <f t="shared" si="47"/>
        <v>0</v>
      </c>
      <c r="L143" s="184" t="str">
        <f t="shared" si="48"/>
        <v>-</v>
      </c>
      <c r="M143" s="758"/>
    </row>
    <row r="144" spans="1:13" x14ac:dyDescent="0.2">
      <c r="A144" s="242">
        <v>2515</v>
      </c>
      <c r="B144" s="248" t="s">
        <v>81</v>
      </c>
      <c r="C144" s="202">
        <v>10564.87</v>
      </c>
      <c r="D144" s="202">
        <v>13065</v>
      </c>
      <c r="E144" s="202">
        <v>10564.87</v>
      </c>
      <c r="F144" s="202">
        <v>13065</v>
      </c>
      <c r="G144" s="555">
        <v>6158.66</v>
      </c>
      <c r="H144" s="189">
        <f t="shared" si="45"/>
        <v>-6906.34</v>
      </c>
      <c r="I144" s="182">
        <f t="shared" si="46"/>
        <v>-0.52861385380788362</v>
      </c>
      <c r="J144" s="758"/>
      <c r="K144" s="183">
        <f t="shared" si="47"/>
        <v>-4406.2100000000009</v>
      </c>
      <c r="L144" s="184">
        <f t="shared" si="48"/>
        <v>-0.41706239641377513</v>
      </c>
      <c r="M144" s="758"/>
    </row>
    <row r="145" spans="1:13" ht="47.25" x14ac:dyDescent="0.2">
      <c r="A145" s="242">
        <v>2516</v>
      </c>
      <c r="B145" s="248" t="s">
        <v>164</v>
      </c>
      <c r="C145" s="202">
        <v>0</v>
      </c>
      <c r="D145" s="202">
        <v>0</v>
      </c>
      <c r="E145" s="202">
        <v>0</v>
      </c>
      <c r="F145" s="202">
        <v>0</v>
      </c>
      <c r="G145" s="555"/>
      <c r="H145" s="189">
        <f t="shared" si="45"/>
        <v>0</v>
      </c>
      <c r="I145" s="182" t="str">
        <f t="shared" si="46"/>
        <v>-</v>
      </c>
      <c r="J145" s="758"/>
      <c r="K145" s="183">
        <f t="shared" si="47"/>
        <v>0</v>
      </c>
      <c r="L145" s="184" t="str">
        <f t="shared" si="48"/>
        <v>-</v>
      </c>
      <c r="M145" s="758"/>
    </row>
    <row r="146" spans="1:13" ht="18.75" customHeight="1" x14ac:dyDescent="0.2">
      <c r="A146" s="229">
        <v>2518</v>
      </c>
      <c r="B146" s="250" t="s">
        <v>82</v>
      </c>
      <c r="C146" s="211">
        <v>2737.8</v>
      </c>
      <c r="D146" s="211">
        <v>2656.3599999999997</v>
      </c>
      <c r="E146" s="211">
        <v>2737.8</v>
      </c>
      <c r="F146" s="211">
        <v>2656.3599999999997</v>
      </c>
      <c r="G146" s="554">
        <v>2552.4</v>
      </c>
      <c r="H146" s="189">
        <f t="shared" si="45"/>
        <v>-103.95999999999958</v>
      </c>
      <c r="I146" s="182">
        <f t="shared" si="46"/>
        <v>-3.9136261651282055E-2</v>
      </c>
      <c r="J146" s="758"/>
      <c r="K146" s="183">
        <f t="shared" si="47"/>
        <v>-185.40000000000009</v>
      </c>
      <c r="L146" s="184">
        <f t="shared" si="48"/>
        <v>-6.7718606180144664E-2</v>
      </c>
      <c r="M146" s="758"/>
    </row>
    <row r="147" spans="1:13" s="235" customFormat="1" ht="274.5" customHeight="1" x14ac:dyDescent="0.2">
      <c r="A147" s="242">
        <v>2519</v>
      </c>
      <c r="B147" s="248" t="s">
        <v>83</v>
      </c>
      <c r="C147" s="202">
        <v>0</v>
      </c>
      <c r="D147" s="202">
        <v>0</v>
      </c>
      <c r="E147" s="202">
        <v>0</v>
      </c>
      <c r="F147" s="202">
        <v>0</v>
      </c>
      <c r="G147" s="555"/>
      <c r="H147" s="189">
        <f t="shared" si="45"/>
        <v>0</v>
      </c>
      <c r="I147" s="182" t="str">
        <f t="shared" si="46"/>
        <v>-</v>
      </c>
      <c r="J147" s="759"/>
      <c r="K147" s="183">
        <f t="shared" si="47"/>
        <v>0</v>
      </c>
      <c r="L147" s="203" t="str">
        <f t="shared" si="48"/>
        <v>-</v>
      </c>
      <c r="M147" s="759"/>
    </row>
    <row r="148" spans="1:13" ht="56.25" customHeight="1" x14ac:dyDescent="0.2">
      <c r="A148" s="241">
        <v>2520</v>
      </c>
      <c r="B148" s="252" t="s">
        <v>439</v>
      </c>
      <c r="C148" s="212">
        <v>0</v>
      </c>
      <c r="D148" s="212">
        <v>0</v>
      </c>
      <c r="E148" s="212">
        <v>0</v>
      </c>
      <c r="F148" s="212">
        <v>0</v>
      </c>
      <c r="G148" s="557">
        <v>0</v>
      </c>
      <c r="H148" s="189">
        <f t="shared" si="45"/>
        <v>0</v>
      </c>
      <c r="I148" s="182" t="str">
        <f t="shared" si="46"/>
        <v>-</v>
      </c>
      <c r="J148" s="342"/>
      <c r="K148" s="186">
        <f t="shared" si="47"/>
        <v>0</v>
      </c>
      <c r="L148" s="187" t="str">
        <f t="shared" si="48"/>
        <v>-</v>
      </c>
      <c r="M148" s="332"/>
    </row>
    <row r="149" spans="1:13" ht="75" customHeight="1" x14ac:dyDescent="0.2">
      <c r="A149" s="241">
        <v>2800</v>
      </c>
      <c r="B149" s="253" t="s">
        <v>84</v>
      </c>
      <c r="C149" s="215">
        <v>0</v>
      </c>
      <c r="D149" s="215">
        <v>0</v>
      </c>
      <c r="E149" s="215">
        <v>0</v>
      </c>
      <c r="F149" s="215">
        <v>0</v>
      </c>
      <c r="G149" s="560">
        <v>0</v>
      </c>
      <c r="H149" s="189">
        <f t="shared" si="45"/>
        <v>0</v>
      </c>
      <c r="I149" s="182" t="str">
        <f t="shared" si="46"/>
        <v>-</v>
      </c>
      <c r="J149" s="342"/>
      <c r="K149" s="186">
        <f t="shared" si="47"/>
        <v>0</v>
      </c>
      <c r="L149" s="187" t="str">
        <f t="shared" si="48"/>
        <v>-</v>
      </c>
      <c r="M149" s="332"/>
    </row>
    <row r="150" spans="1:13" ht="19.5" customHeight="1" x14ac:dyDescent="0.2">
      <c r="A150" s="233">
        <v>4000</v>
      </c>
      <c r="B150" s="254" t="s">
        <v>85</v>
      </c>
      <c r="C150" s="191">
        <v>0</v>
      </c>
      <c r="D150" s="191">
        <v>0</v>
      </c>
      <c r="E150" s="191">
        <v>0</v>
      </c>
      <c r="F150" s="191">
        <v>0</v>
      </c>
      <c r="G150" s="553">
        <v>0</v>
      </c>
      <c r="H150" s="189">
        <f t="shared" si="45"/>
        <v>0</v>
      </c>
      <c r="I150" s="182" t="str">
        <f t="shared" si="46"/>
        <v>-</v>
      </c>
      <c r="J150" s="331"/>
      <c r="K150" s="189">
        <f t="shared" si="47"/>
        <v>0</v>
      </c>
      <c r="L150" s="182" t="str">
        <f t="shared" si="48"/>
        <v>-</v>
      </c>
      <c r="M150" s="331"/>
    </row>
    <row r="151" spans="1:13" ht="56.25" customHeight="1" x14ac:dyDescent="0.2">
      <c r="A151" s="255">
        <v>4100</v>
      </c>
      <c r="B151" s="247" t="s">
        <v>86</v>
      </c>
      <c r="C151" s="191">
        <v>0</v>
      </c>
      <c r="D151" s="191">
        <v>0</v>
      </c>
      <c r="E151" s="191">
        <v>0</v>
      </c>
      <c r="F151" s="191">
        <v>0</v>
      </c>
      <c r="G151" s="553">
        <v>0</v>
      </c>
      <c r="H151" s="189">
        <f t="shared" si="45"/>
        <v>0</v>
      </c>
      <c r="I151" s="182" t="str">
        <f t="shared" si="46"/>
        <v>-</v>
      </c>
      <c r="J151" s="762"/>
      <c r="K151" s="189">
        <f t="shared" si="47"/>
        <v>0</v>
      </c>
      <c r="L151" s="182" t="str">
        <f t="shared" si="48"/>
        <v>-</v>
      </c>
      <c r="M151" s="762"/>
    </row>
    <row r="152" spans="1:13" ht="56.25" customHeight="1" x14ac:dyDescent="0.2">
      <c r="A152" s="256">
        <v>4110</v>
      </c>
      <c r="B152" s="248" t="s">
        <v>351</v>
      </c>
      <c r="C152" s="202">
        <v>0</v>
      </c>
      <c r="D152" s="202">
        <v>0</v>
      </c>
      <c r="E152" s="202">
        <v>0</v>
      </c>
      <c r="F152" s="202">
        <v>0</v>
      </c>
      <c r="G152" s="555">
        <v>0</v>
      </c>
      <c r="H152" s="189">
        <f t="shared" si="45"/>
        <v>0</v>
      </c>
      <c r="I152" s="182" t="str">
        <f t="shared" si="46"/>
        <v>-</v>
      </c>
      <c r="J152" s="763"/>
      <c r="K152" s="183">
        <f t="shared" si="47"/>
        <v>0</v>
      </c>
      <c r="L152" s="184" t="str">
        <f t="shared" si="48"/>
        <v>-</v>
      </c>
      <c r="M152" s="763"/>
    </row>
    <row r="153" spans="1:13" ht="75" customHeight="1" x14ac:dyDescent="0.2">
      <c r="A153" s="256">
        <v>4130</v>
      </c>
      <c r="B153" s="248" t="s">
        <v>87</v>
      </c>
      <c r="C153" s="202">
        <v>0</v>
      </c>
      <c r="D153" s="202">
        <v>0</v>
      </c>
      <c r="E153" s="202">
        <v>0</v>
      </c>
      <c r="F153" s="202">
        <v>0</v>
      </c>
      <c r="G153" s="555">
        <v>0</v>
      </c>
      <c r="H153" s="189">
        <f t="shared" si="45"/>
        <v>0</v>
      </c>
      <c r="I153" s="182" t="str">
        <f t="shared" si="46"/>
        <v>-</v>
      </c>
      <c r="J153" s="764"/>
      <c r="K153" s="183">
        <f t="shared" si="47"/>
        <v>0</v>
      </c>
      <c r="L153" s="184" t="str">
        <f t="shared" si="48"/>
        <v>-</v>
      </c>
      <c r="M153" s="764"/>
    </row>
    <row r="154" spans="1:13" ht="19.5" customHeight="1" x14ac:dyDescent="0.2">
      <c r="A154" s="255">
        <v>4200</v>
      </c>
      <c r="B154" s="247" t="s">
        <v>88</v>
      </c>
      <c r="C154" s="191">
        <v>0</v>
      </c>
      <c r="D154" s="191">
        <v>0</v>
      </c>
      <c r="E154" s="191">
        <v>0</v>
      </c>
      <c r="F154" s="191">
        <v>0</v>
      </c>
      <c r="G154" s="553">
        <v>0</v>
      </c>
      <c r="H154" s="189">
        <f t="shared" si="45"/>
        <v>0</v>
      </c>
      <c r="I154" s="182" t="str">
        <f t="shared" si="46"/>
        <v>-</v>
      </c>
      <c r="J154" s="762"/>
      <c r="K154" s="189">
        <f t="shared" si="47"/>
        <v>0</v>
      </c>
      <c r="L154" s="182" t="str">
        <f t="shared" si="48"/>
        <v>-</v>
      </c>
      <c r="M154" s="762"/>
    </row>
    <row r="155" spans="1:13" s="257" customFormat="1" ht="56.25" customHeight="1" x14ac:dyDescent="0.2">
      <c r="A155" s="256">
        <v>4230</v>
      </c>
      <c r="B155" s="248" t="s">
        <v>89</v>
      </c>
      <c r="C155" s="202">
        <v>0</v>
      </c>
      <c r="D155" s="202">
        <v>0</v>
      </c>
      <c r="E155" s="202">
        <v>0</v>
      </c>
      <c r="F155" s="202">
        <v>0</v>
      </c>
      <c r="G155" s="555">
        <v>0</v>
      </c>
      <c r="H155" s="189">
        <f t="shared" si="45"/>
        <v>0</v>
      </c>
      <c r="I155" s="182" t="str">
        <f t="shared" si="46"/>
        <v>-</v>
      </c>
      <c r="J155" s="763"/>
      <c r="K155" s="183">
        <f t="shared" si="47"/>
        <v>0</v>
      </c>
      <c r="L155" s="184" t="str">
        <f t="shared" si="48"/>
        <v>-</v>
      </c>
      <c r="M155" s="763"/>
    </row>
    <row r="156" spans="1:13" ht="56.25" customHeight="1" x14ac:dyDescent="0.2">
      <c r="A156" s="256">
        <v>4240</v>
      </c>
      <c r="B156" s="258" t="s">
        <v>165</v>
      </c>
      <c r="C156" s="202">
        <v>0</v>
      </c>
      <c r="D156" s="202">
        <v>0</v>
      </c>
      <c r="E156" s="202">
        <v>0</v>
      </c>
      <c r="F156" s="202">
        <v>0</v>
      </c>
      <c r="G156" s="555">
        <v>0</v>
      </c>
      <c r="H156" s="189">
        <f t="shared" si="45"/>
        <v>0</v>
      </c>
      <c r="I156" s="182" t="str">
        <f t="shared" si="46"/>
        <v>-</v>
      </c>
      <c r="J156" s="763"/>
      <c r="K156" s="183">
        <f t="shared" si="47"/>
        <v>0</v>
      </c>
      <c r="L156" s="184" t="str">
        <f t="shared" si="48"/>
        <v>-</v>
      </c>
      <c r="M156" s="763"/>
    </row>
    <row r="157" spans="1:13" ht="19.5" customHeight="1" x14ac:dyDescent="0.2">
      <c r="A157" s="256">
        <v>4250</v>
      </c>
      <c r="B157" s="258" t="s">
        <v>166</v>
      </c>
      <c r="C157" s="202">
        <v>0</v>
      </c>
      <c r="D157" s="202">
        <v>0</v>
      </c>
      <c r="E157" s="202">
        <v>0</v>
      </c>
      <c r="F157" s="202">
        <v>0</v>
      </c>
      <c r="G157" s="555">
        <v>0</v>
      </c>
      <c r="H157" s="189">
        <f t="shared" si="45"/>
        <v>0</v>
      </c>
      <c r="I157" s="182" t="str">
        <f t="shared" si="46"/>
        <v>-</v>
      </c>
      <c r="J157" s="764"/>
      <c r="K157" s="183">
        <f t="shared" si="47"/>
        <v>0</v>
      </c>
      <c r="L157" s="184" t="str">
        <f t="shared" si="48"/>
        <v>-</v>
      </c>
      <c r="M157" s="764"/>
    </row>
    <row r="158" spans="1:13" ht="19.5" customHeight="1" x14ac:dyDescent="0.2">
      <c r="A158" s="233">
        <v>4300</v>
      </c>
      <c r="B158" s="247" t="s">
        <v>90</v>
      </c>
      <c r="C158" s="191">
        <v>0</v>
      </c>
      <c r="D158" s="191">
        <v>0</v>
      </c>
      <c r="E158" s="191">
        <v>0</v>
      </c>
      <c r="F158" s="191">
        <v>0</v>
      </c>
      <c r="G158" s="553">
        <v>0</v>
      </c>
      <c r="H158" s="189">
        <f t="shared" si="45"/>
        <v>0</v>
      </c>
      <c r="I158" s="182" t="str">
        <f t="shared" si="46"/>
        <v>-</v>
      </c>
      <c r="J158" s="762"/>
      <c r="K158" s="189">
        <f t="shared" si="47"/>
        <v>0</v>
      </c>
      <c r="L158" s="182" t="str">
        <f t="shared" si="48"/>
        <v>-</v>
      </c>
      <c r="M158" s="762"/>
    </row>
    <row r="159" spans="1:13" ht="19.5" customHeight="1" x14ac:dyDescent="0.2">
      <c r="A159" s="242">
        <v>4310</v>
      </c>
      <c r="B159" s="248" t="s">
        <v>91</v>
      </c>
      <c r="C159" s="202">
        <v>0</v>
      </c>
      <c r="D159" s="202">
        <v>0</v>
      </c>
      <c r="E159" s="202">
        <v>0</v>
      </c>
      <c r="F159" s="202">
        <v>0</v>
      </c>
      <c r="G159" s="555">
        <v>0</v>
      </c>
      <c r="H159" s="189">
        <f t="shared" si="45"/>
        <v>0</v>
      </c>
      <c r="I159" s="182" t="str">
        <f t="shared" si="46"/>
        <v>-</v>
      </c>
      <c r="J159" s="763"/>
      <c r="K159" s="183">
        <f t="shared" si="47"/>
        <v>0</v>
      </c>
      <c r="L159" s="184" t="str">
        <f t="shared" si="48"/>
        <v>-</v>
      </c>
      <c r="M159" s="763"/>
    </row>
    <row r="160" spans="1:13" ht="37.5" customHeight="1" x14ac:dyDescent="0.2">
      <c r="A160" s="242">
        <v>4330</v>
      </c>
      <c r="B160" s="248" t="s">
        <v>440</v>
      </c>
      <c r="C160" s="202">
        <v>0</v>
      </c>
      <c r="D160" s="202">
        <v>0</v>
      </c>
      <c r="E160" s="202">
        <v>0</v>
      </c>
      <c r="F160" s="202">
        <v>0</v>
      </c>
      <c r="G160" s="555">
        <v>0</v>
      </c>
      <c r="H160" s="189">
        <f t="shared" si="45"/>
        <v>0</v>
      </c>
      <c r="I160" s="182" t="str">
        <f t="shared" si="46"/>
        <v>-</v>
      </c>
      <c r="J160" s="763"/>
      <c r="K160" s="183">
        <f t="shared" si="47"/>
        <v>0</v>
      </c>
      <c r="L160" s="184" t="str">
        <f t="shared" si="48"/>
        <v>-</v>
      </c>
      <c r="M160" s="763"/>
    </row>
    <row r="161" spans="1:13" ht="56.25" customHeight="1" x14ac:dyDescent="0.2">
      <c r="A161" s="229">
        <v>4340</v>
      </c>
      <c r="B161" s="250" t="s">
        <v>167</v>
      </c>
      <c r="C161" s="211">
        <v>0</v>
      </c>
      <c r="D161" s="202">
        <v>0</v>
      </c>
      <c r="E161" s="211">
        <v>0</v>
      </c>
      <c r="F161" s="202">
        <v>0</v>
      </c>
      <c r="G161" s="554">
        <v>0</v>
      </c>
      <c r="H161" s="189">
        <f t="shared" si="45"/>
        <v>0</v>
      </c>
      <c r="I161" s="182" t="str">
        <f t="shared" si="46"/>
        <v>-</v>
      </c>
      <c r="J161" s="763"/>
      <c r="K161" s="183">
        <f t="shared" si="47"/>
        <v>0</v>
      </c>
      <c r="L161" s="184" t="str">
        <f t="shared" si="48"/>
        <v>-</v>
      </c>
      <c r="M161" s="763"/>
    </row>
    <row r="162" spans="1:13" ht="37.5" customHeight="1" x14ac:dyDescent="0.2">
      <c r="A162" s="229">
        <v>4390</v>
      </c>
      <c r="B162" s="250" t="s">
        <v>441</v>
      </c>
      <c r="C162" s="211">
        <v>0</v>
      </c>
      <c r="D162" s="202">
        <v>0</v>
      </c>
      <c r="E162" s="211">
        <v>0</v>
      </c>
      <c r="F162" s="202">
        <v>0</v>
      </c>
      <c r="G162" s="554">
        <v>0</v>
      </c>
      <c r="H162" s="189">
        <f t="shared" si="45"/>
        <v>0</v>
      </c>
      <c r="I162" s="182" t="str">
        <f t="shared" si="46"/>
        <v>-</v>
      </c>
      <c r="J162" s="764"/>
      <c r="K162" s="183">
        <f t="shared" si="47"/>
        <v>0</v>
      </c>
      <c r="L162" s="184" t="str">
        <f t="shared" si="48"/>
        <v>-</v>
      </c>
      <c r="M162" s="764"/>
    </row>
    <row r="163" spans="1:13" ht="19.5" customHeight="1" x14ac:dyDescent="0.2">
      <c r="A163" s="233" t="s">
        <v>92</v>
      </c>
      <c r="B163" s="259" t="s">
        <v>93</v>
      </c>
      <c r="C163" s="191">
        <f>C34</f>
        <v>21184438.690000001</v>
      </c>
      <c r="D163" s="191">
        <v>22740448.660044245</v>
      </c>
      <c r="E163" s="191">
        <f>E34</f>
        <v>21184438.690000001</v>
      </c>
      <c r="F163" s="191">
        <v>22740448.660044245</v>
      </c>
      <c r="G163" s="553">
        <f t="shared" ref="G163" si="53">G34</f>
        <v>24038354.210000001</v>
      </c>
      <c r="H163" s="189">
        <f t="shared" ref="H163:H193" si="54">G163-F163</f>
        <v>1297905.5499557555</v>
      </c>
      <c r="I163" s="182">
        <f t="shared" ref="I163:I193" si="55">IFERROR(H163/ABS(F163), "-")</f>
        <v>5.7074755619761379E-2</v>
      </c>
      <c r="J163" s="331"/>
      <c r="K163" s="189">
        <f t="shared" ref="K163:K193" si="56">G163-E163</f>
        <v>2853915.5199999996</v>
      </c>
      <c r="L163" s="182">
        <f t="shared" ref="L163:L193" si="57">IFERROR(K163/ABS(E163), "-")</f>
        <v>0.13471754252083037</v>
      </c>
      <c r="M163" s="331"/>
    </row>
    <row r="164" spans="1:13" ht="56.25" customHeight="1" x14ac:dyDescent="0.2">
      <c r="A164" s="233" t="s">
        <v>94</v>
      </c>
      <c r="B164" s="259" t="s">
        <v>348</v>
      </c>
      <c r="C164" s="191">
        <f>C3-C163</f>
        <v>1653190.570000004</v>
      </c>
      <c r="D164" s="191">
        <v>1153584.3720557559</v>
      </c>
      <c r="E164" s="191">
        <f>E3-E163</f>
        <v>1653190.570000004</v>
      </c>
      <c r="F164" s="191">
        <v>1153584.3720557559</v>
      </c>
      <c r="G164" s="553">
        <f t="shared" ref="G164" si="58">G3-G163</f>
        <v>964232.54999999702</v>
      </c>
      <c r="H164" s="189">
        <f t="shared" si="54"/>
        <v>-189351.82205575891</v>
      </c>
      <c r="I164" s="182">
        <f t="shared" si="55"/>
        <v>-0.16414215261803755</v>
      </c>
      <c r="J164" s="331"/>
      <c r="K164" s="189">
        <f t="shared" si="56"/>
        <v>-688958.020000007</v>
      </c>
      <c r="L164" s="182">
        <f t="shared" si="57"/>
        <v>-0.4167444652191582</v>
      </c>
      <c r="M164" s="331"/>
    </row>
    <row r="165" spans="1:13" ht="19.5" customHeight="1" x14ac:dyDescent="0.2">
      <c r="A165" s="260">
        <v>5000</v>
      </c>
      <c r="B165" s="261" t="s">
        <v>95</v>
      </c>
      <c r="C165" s="216">
        <f t="shared" ref="C165:E165" si="59">C166+C167</f>
        <v>801338.41</v>
      </c>
      <c r="D165" s="216">
        <v>872280</v>
      </c>
      <c r="E165" s="216">
        <f t="shared" si="59"/>
        <v>801338.41</v>
      </c>
      <c r="F165" s="216">
        <v>872280</v>
      </c>
      <c r="G165" s="563">
        <f t="shared" ref="G165" si="60">G166+G167</f>
        <v>903855.77</v>
      </c>
      <c r="H165" s="189">
        <f t="shared" si="54"/>
        <v>31575.770000000019</v>
      </c>
      <c r="I165" s="182">
        <f t="shared" si="55"/>
        <v>3.6199121841610511E-2</v>
      </c>
      <c r="J165" s="331"/>
      <c r="K165" s="189">
        <f t="shared" si="56"/>
        <v>102517.35999999999</v>
      </c>
      <c r="L165" s="182">
        <f t="shared" si="57"/>
        <v>0.12793266704886888</v>
      </c>
      <c r="M165" s="331"/>
    </row>
    <row r="166" spans="1:13" ht="169.5" customHeight="1" x14ac:dyDescent="0.2">
      <c r="A166" s="262">
        <v>5100</v>
      </c>
      <c r="B166" s="263" t="s">
        <v>442</v>
      </c>
      <c r="C166" s="202">
        <v>27455.64</v>
      </c>
      <c r="D166" s="202">
        <v>28452</v>
      </c>
      <c r="E166" s="202">
        <v>27455.64</v>
      </c>
      <c r="F166" s="202">
        <v>28452</v>
      </c>
      <c r="G166" s="555">
        <v>23256.13</v>
      </c>
      <c r="H166" s="189">
        <f t="shared" si="54"/>
        <v>-5195.869999999999</v>
      </c>
      <c r="I166" s="182">
        <f t="shared" si="55"/>
        <v>-0.18261879656966115</v>
      </c>
      <c r="J166" s="660" t="s">
        <v>815</v>
      </c>
      <c r="K166" s="183">
        <f t="shared" si="56"/>
        <v>-4199.5099999999984</v>
      </c>
      <c r="L166" s="184">
        <f t="shared" si="57"/>
        <v>-0.15295618677983827</v>
      </c>
      <c r="M166" s="663" t="s">
        <v>842</v>
      </c>
    </row>
    <row r="167" spans="1:13" ht="19.5" customHeight="1" x14ac:dyDescent="0.2">
      <c r="A167" s="264">
        <v>5200</v>
      </c>
      <c r="B167" s="254" t="s">
        <v>96</v>
      </c>
      <c r="C167" s="191">
        <v>773882.77</v>
      </c>
      <c r="D167" s="191">
        <v>843828</v>
      </c>
      <c r="E167" s="191">
        <v>773882.77</v>
      </c>
      <c r="F167" s="191">
        <v>843828</v>
      </c>
      <c r="G167" s="553">
        <v>880599.64</v>
      </c>
      <c r="H167" s="189">
        <f t="shared" si="54"/>
        <v>36771.640000000014</v>
      </c>
      <c r="I167" s="182">
        <f t="shared" si="55"/>
        <v>4.3577174495276302E-2</v>
      </c>
      <c r="J167" s="765"/>
      <c r="K167" s="189">
        <f t="shared" si="56"/>
        <v>106716.87</v>
      </c>
      <c r="L167" s="182">
        <f t="shared" si="57"/>
        <v>0.13789797904403531</v>
      </c>
      <c r="M167" s="757" t="s">
        <v>843</v>
      </c>
    </row>
    <row r="168" spans="1:13" ht="31.5" x14ac:dyDescent="0.2">
      <c r="A168" s="265">
        <v>5210</v>
      </c>
      <c r="B168" s="266" t="s">
        <v>97</v>
      </c>
      <c r="C168" s="202">
        <v>0</v>
      </c>
      <c r="D168" s="202">
        <v>0</v>
      </c>
      <c r="E168" s="202">
        <v>0</v>
      </c>
      <c r="F168" s="202">
        <v>0</v>
      </c>
      <c r="G168" s="555">
        <v>0</v>
      </c>
      <c r="H168" s="189">
        <f t="shared" si="54"/>
        <v>0</v>
      </c>
      <c r="I168" s="182" t="str">
        <f t="shared" si="55"/>
        <v>-</v>
      </c>
      <c r="J168" s="766"/>
      <c r="K168" s="183">
        <f t="shared" si="56"/>
        <v>0</v>
      </c>
      <c r="L168" s="184" t="str">
        <f t="shared" si="57"/>
        <v>-</v>
      </c>
      <c r="M168" s="760"/>
    </row>
    <row r="169" spans="1:13" ht="31.5" x14ac:dyDescent="0.2">
      <c r="A169" s="265">
        <v>5220</v>
      </c>
      <c r="B169" s="266" t="s">
        <v>98</v>
      </c>
      <c r="C169" s="202">
        <v>0</v>
      </c>
      <c r="D169" s="202">
        <v>0</v>
      </c>
      <c r="E169" s="202">
        <v>0</v>
      </c>
      <c r="F169" s="202">
        <v>0</v>
      </c>
      <c r="G169" s="555">
        <v>0</v>
      </c>
      <c r="H169" s="189">
        <f t="shared" si="54"/>
        <v>0</v>
      </c>
      <c r="I169" s="182" t="str">
        <f t="shared" si="55"/>
        <v>-</v>
      </c>
      <c r="J169" s="766"/>
      <c r="K169" s="183">
        <f t="shared" si="56"/>
        <v>0</v>
      </c>
      <c r="L169" s="184" t="str">
        <f t="shared" si="57"/>
        <v>-</v>
      </c>
      <c r="M169" s="760"/>
    </row>
    <row r="170" spans="1:13" ht="58.5" customHeight="1" x14ac:dyDescent="0.2">
      <c r="A170" s="265">
        <v>5230</v>
      </c>
      <c r="B170" s="266" t="s">
        <v>99</v>
      </c>
      <c r="C170" s="202">
        <v>0</v>
      </c>
      <c r="D170" s="202">
        <v>0</v>
      </c>
      <c r="E170" s="202">
        <v>0</v>
      </c>
      <c r="F170" s="202">
        <v>0</v>
      </c>
      <c r="G170" s="555">
        <v>0</v>
      </c>
      <c r="H170" s="189">
        <f t="shared" si="54"/>
        <v>0</v>
      </c>
      <c r="I170" s="182" t="str">
        <f t="shared" si="55"/>
        <v>-</v>
      </c>
      <c r="J170" s="766"/>
      <c r="K170" s="183">
        <f t="shared" si="56"/>
        <v>0</v>
      </c>
      <c r="L170" s="184" t="str">
        <f t="shared" si="57"/>
        <v>-</v>
      </c>
      <c r="M170" s="760"/>
    </row>
    <row r="171" spans="1:13" ht="94.5" customHeight="1" x14ac:dyDescent="0.2">
      <c r="A171" s="265">
        <v>5240</v>
      </c>
      <c r="B171" s="266" t="s">
        <v>353</v>
      </c>
      <c r="C171" s="202">
        <v>0</v>
      </c>
      <c r="D171" s="202">
        <v>0</v>
      </c>
      <c r="E171" s="202">
        <v>0</v>
      </c>
      <c r="F171" s="202">
        <v>0</v>
      </c>
      <c r="G171" s="555">
        <v>0</v>
      </c>
      <c r="H171" s="189">
        <f t="shared" si="54"/>
        <v>0</v>
      </c>
      <c r="I171" s="182" t="str">
        <f t="shared" si="55"/>
        <v>-</v>
      </c>
      <c r="J171" s="767"/>
      <c r="K171" s="183">
        <f t="shared" si="56"/>
        <v>0</v>
      </c>
      <c r="L171" s="184" t="str">
        <f t="shared" si="57"/>
        <v>-</v>
      </c>
      <c r="M171" s="761"/>
    </row>
    <row r="172" spans="1:13" ht="102.75" customHeight="1" x14ac:dyDescent="0.2">
      <c r="A172" s="233" t="s">
        <v>100</v>
      </c>
      <c r="B172" s="259" t="s">
        <v>349</v>
      </c>
      <c r="C172" s="191">
        <f t="shared" ref="C172:E172" si="61">C164-C165</f>
        <v>851852.16000000399</v>
      </c>
      <c r="D172" s="191">
        <v>281304.37205575593</v>
      </c>
      <c r="E172" s="191">
        <f t="shared" si="61"/>
        <v>851852.16000000399</v>
      </c>
      <c r="F172" s="191">
        <v>281304.37205575593</v>
      </c>
      <c r="G172" s="553">
        <f t="shared" ref="G172" si="62">G164-G165</f>
        <v>60376.779999997001</v>
      </c>
      <c r="H172" s="189">
        <f t="shared" si="54"/>
        <v>-220927.59205575893</v>
      </c>
      <c r="I172" s="182">
        <f t="shared" si="55"/>
        <v>-0.78536849762139482</v>
      </c>
      <c r="J172" s="331"/>
      <c r="K172" s="189">
        <f t="shared" si="56"/>
        <v>-791475.38000000699</v>
      </c>
      <c r="L172" s="182">
        <f t="shared" si="57"/>
        <v>-0.92912293607379393</v>
      </c>
      <c r="M172" s="331"/>
    </row>
    <row r="173" spans="1:13" ht="19.5" customHeight="1" x14ac:dyDescent="0.2">
      <c r="A173" s="69" t="s">
        <v>168</v>
      </c>
      <c r="B173" s="254" t="s">
        <v>101</v>
      </c>
      <c r="C173" s="191">
        <f t="shared" ref="C173:E173" si="63">SUM(C174:C181)</f>
        <v>63110.31</v>
      </c>
      <c r="D173" s="191">
        <v>63222.879999999997</v>
      </c>
      <c r="E173" s="191">
        <f t="shared" si="63"/>
        <v>63110.31</v>
      </c>
      <c r="F173" s="191">
        <v>63222.879999999997</v>
      </c>
      <c r="G173" s="553">
        <f>SUM(G174:G181)</f>
        <v>232883.82</v>
      </c>
      <c r="H173" s="189">
        <f t="shared" si="54"/>
        <v>169660.94</v>
      </c>
      <c r="I173" s="182">
        <f t="shared" si="55"/>
        <v>2.6835370359591337</v>
      </c>
      <c r="J173" s="757" t="s">
        <v>816</v>
      </c>
      <c r="K173" s="189">
        <f t="shared" si="56"/>
        <v>169773.51</v>
      </c>
      <c r="L173" s="182">
        <f t="shared" si="57"/>
        <v>2.6901073691445978</v>
      </c>
      <c r="M173" s="757" t="s">
        <v>844</v>
      </c>
    </row>
    <row r="174" spans="1:13" x14ac:dyDescent="0.2">
      <c r="A174" s="267" t="s">
        <v>169</v>
      </c>
      <c r="B174" s="266" t="s">
        <v>102</v>
      </c>
      <c r="C174" s="202"/>
      <c r="D174" s="202">
        <v>0.25</v>
      </c>
      <c r="E174" s="202"/>
      <c r="F174" s="202">
        <v>0.25</v>
      </c>
      <c r="G174" s="555">
        <v>0.03</v>
      </c>
      <c r="H174" s="189">
        <f t="shared" si="54"/>
        <v>-0.22</v>
      </c>
      <c r="I174" s="182">
        <f t="shared" si="55"/>
        <v>-0.88</v>
      </c>
      <c r="J174" s="758"/>
      <c r="K174" s="183">
        <f t="shared" si="56"/>
        <v>0.03</v>
      </c>
      <c r="L174" s="184" t="str">
        <f t="shared" si="57"/>
        <v>-</v>
      </c>
      <c r="M174" s="758"/>
    </row>
    <row r="175" spans="1:13" x14ac:dyDescent="0.2">
      <c r="A175" s="267" t="s">
        <v>170</v>
      </c>
      <c r="B175" s="266" t="s">
        <v>103</v>
      </c>
      <c r="C175" s="202">
        <v>56.51</v>
      </c>
      <c r="D175" s="202">
        <v>50.56</v>
      </c>
      <c r="E175" s="202">
        <v>56.51</v>
      </c>
      <c r="F175" s="202">
        <v>50.56</v>
      </c>
      <c r="G175" s="555">
        <f>0.04+62.68</f>
        <v>62.72</v>
      </c>
      <c r="H175" s="189">
        <f t="shared" si="54"/>
        <v>12.159999999999997</v>
      </c>
      <c r="I175" s="182">
        <f t="shared" si="55"/>
        <v>0.24050632911392397</v>
      </c>
      <c r="J175" s="758"/>
      <c r="K175" s="183">
        <f t="shared" si="56"/>
        <v>6.2100000000000009</v>
      </c>
      <c r="L175" s="184">
        <f t="shared" si="57"/>
        <v>0.1098920545036277</v>
      </c>
      <c r="M175" s="758"/>
    </row>
    <row r="176" spans="1:13" ht="31.5" x14ac:dyDescent="0.2">
      <c r="A176" s="267" t="s">
        <v>171</v>
      </c>
      <c r="B176" s="266" t="s">
        <v>350</v>
      </c>
      <c r="C176" s="202"/>
      <c r="D176" s="202">
        <v>0</v>
      </c>
      <c r="E176" s="202"/>
      <c r="F176" s="202">
        <v>0</v>
      </c>
      <c r="G176" s="555"/>
      <c r="H176" s="189">
        <f t="shared" si="54"/>
        <v>0</v>
      </c>
      <c r="I176" s="182" t="str">
        <f t="shared" si="55"/>
        <v>-</v>
      </c>
      <c r="J176" s="758"/>
      <c r="K176" s="183">
        <f t="shared" si="56"/>
        <v>0</v>
      </c>
      <c r="L176" s="184" t="str">
        <f t="shared" si="57"/>
        <v>-</v>
      </c>
      <c r="M176" s="758"/>
    </row>
    <row r="177" spans="1:13" x14ac:dyDescent="0.2">
      <c r="A177" s="267" t="s">
        <v>172</v>
      </c>
      <c r="B177" s="266" t="s">
        <v>104</v>
      </c>
      <c r="C177" s="202"/>
      <c r="D177" s="202">
        <v>0</v>
      </c>
      <c r="E177" s="202"/>
      <c r="F177" s="202">
        <v>0</v>
      </c>
      <c r="G177" s="555"/>
      <c r="H177" s="189">
        <f t="shared" si="54"/>
        <v>0</v>
      </c>
      <c r="I177" s="182" t="str">
        <f t="shared" si="55"/>
        <v>-</v>
      </c>
      <c r="J177" s="758"/>
      <c r="K177" s="183">
        <f t="shared" si="56"/>
        <v>0</v>
      </c>
      <c r="L177" s="184" t="str">
        <f t="shared" si="57"/>
        <v>-</v>
      </c>
      <c r="M177" s="758"/>
    </row>
    <row r="178" spans="1:13" x14ac:dyDescent="0.2">
      <c r="A178" s="267" t="s">
        <v>173</v>
      </c>
      <c r="B178" s="266" t="s">
        <v>105</v>
      </c>
      <c r="C178" s="202"/>
      <c r="D178" s="202">
        <v>0</v>
      </c>
      <c r="E178" s="202"/>
      <c r="F178" s="202">
        <v>0</v>
      </c>
      <c r="G178" s="555"/>
      <c r="H178" s="189">
        <f t="shared" si="54"/>
        <v>0</v>
      </c>
      <c r="I178" s="182" t="str">
        <f t="shared" si="55"/>
        <v>-</v>
      </c>
      <c r="J178" s="758"/>
      <c r="K178" s="183">
        <f t="shared" si="56"/>
        <v>0</v>
      </c>
      <c r="L178" s="184" t="str">
        <f t="shared" si="57"/>
        <v>-</v>
      </c>
      <c r="M178" s="758"/>
    </row>
    <row r="179" spans="1:13" ht="68.25" customHeight="1" x14ac:dyDescent="0.2">
      <c r="A179" s="267" t="s">
        <v>174</v>
      </c>
      <c r="B179" s="266" t="s">
        <v>106</v>
      </c>
      <c r="C179" s="202"/>
      <c r="D179" s="202">
        <v>58840</v>
      </c>
      <c r="E179" s="202"/>
      <c r="F179" s="202">
        <v>58840</v>
      </c>
      <c r="G179" s="555">
        <v>58839.95</v>
      </c>
      <c r="H179" s="189">
        <f t="shared" si="54"/>
        <v>-5.0000000002910383E-2</v>
      </c>
      <c r="I179" s="182">
        <f t="shared" si="55"/>
        <v>-8.4976206667080873E-7</v>
      </c>
      <c r="J179" s="758"/>
      <c r="K179" s="183">
        <f t="shared" si="56"/>
        <v>58839.95</v>
      </c>
      <c r="L179" s="184" t="str">
        <f t="shared" si="57"/>
        <v>-</v>
      </c>
      <c r="M179" s="758"/>
    </row>
    <row r="180" spans="1:13" ht="45" customHeight="1" x14ac:dyDescent="0.2">
      <c r="A180" s="267" t="s">
        <v>175</v>
      </c>
      <c r="B180" s="266" t="s">
        <v>148</v>
      </c>
      <c r="C180" s="202"/>
      <c r="D180" s="202">
        <v>0</v>
      </c>
      <c r="E180" s="202"/>
      <c r="F180" s="202">
        <v>0</v>
      </c>
      <c r="G180" s="555"/>
      <c r="H180" s="189">
        <f t="shared" si="54"/>
        <v>0</v>
      </c>
      <c r="I180" s="182" t="str">
        <f t="shared" si="55"/>
        <v>-</v>
      </c>
      <c r="J180" s="759"/>
      <c r="K180" s="183">
        <f t="shared" si="56"/>
        <v>0</v>
      </c>
      <c r="L180" s="184" t="str">
        <f t="shared" si="57"/>
        <v>-</v>
      </c>
      <c r="M180" s="759"/>
    </row>
    <row r="181" spans="1:13" ht="241.5" customHeight="1" x14ac:dyDescent="0.2">
      <c r="A181" s="267" t="s">
        <v>176</v>
      </c>
      <c r="B181" s="266" t="s">
        <v>107</v>
      </c>
      <c r="C181" s="202">
        <f>58839.95+0.53+1000+375.13+2838.19</f>
        <v>63053.799999999996</v>
      </c>
      <c r="D181" s="202">
        <v>4332.07</v>
      </c>
      <c r="E181" s="202">
        <f>58839.95+0.53+1000+375.13+2838.19</f>
        <v>63053.799999999996</v>
      </c>
      <c r="F181" s="202">
        <v>4332.07</v>
      </c>
      <c r="G181" s="555">
        <f>169259.81+10.35+4219.96+490+1</f>
        <v>173981.12</v>
      </c>
      <c r="H181" s="189">
        <f t="shared" si="54"/>
        <v>169649.05</v>
      </c>
      <c r="I181" s="182">
        <f t="shared" si="55"/>
        <v>39.161197764579057</v>
      </c>
      <c r="J181" s="654" t="s">
        <v>775</v>
      </c>
      <c r="K181" s="183">
        <f t="shared" si="56"/>
        <v>110927.32</v>
      </c>
      <c r="L181" s="184">
        <f t="shared" si="57"/>
        <v>1.7592487685119693</v>
      </c>
      <c r="M181" s="654" t="s">
        <v>845</v>
      </c>
    </row>
    <row r="182" spans="1:13" ht="37.5" customHeight="1" x14ac:dyDescent="0.2">
      <c r="A182" s="233" t="s">
        <v>108</v>
      </c>
      <c r="B182" s="259" t="s">
        <v>109</v>
      </c>
      <c r="C182" s="191">
        <f>C3+C173</f>
        <v>22900739.570000004</v>
      </c>
      <c r="D182" s="191">
        <v>23957255.912100002</v>
      </c>
      <c r="E182" s="191">
        <f>E3+E173</f>
        <v>22900739.570000004</v>
      </c>
      <c r="F182" s="191">
        <v>23957255.912100002</v>
      </c>
      <c r="G182" s="553">
        <f>G3+G173</f>
        <v>25235470.579999998</v>
      </c>
      <c r="H182" s="189">
        <f t="shared" si="54"/>
        <v>1278214.667899996</v>
      </c>
      <c r="I182" s="182">
        <f t="shared" si="55"/>
        <v>5.3353968108443207E-2</v>
      </c>
      <c r="J182" s="331"/>
      <c r="K182" s="189">
        <f t="shared" si="56"/>
        <v>2334731.0099999942</v>
      </c>
      <c r="L182" s="182">
        <f t="shared" si="57"/>
        <v>0.1019500266733086</v>
      </c>
      <c r="M182" s="331"/>
    </row>
    <row r="183" spans="1:13" ht="224.25" customHeight="1" x14ac:dyDescent="0.2">
      <c r="A183" s="244">
        <v>8000</v>
      </c>
      <c r="B183" s="254" t="s">
        <v>110</v>
      </c>
      <c r="C183" s="191">
        <f>SUM(C184:C190)</f>
        <v>1136877.1299999999</v>
      </c>
      <c r="D183" s="191">
        <v>242438.12220000001</v>
      </c>
      <c r="E183" s="191">
        <f>SUM(E184:E190)</f>
        <v>1136877.1299999999</v>
      </c>
      <c r="F183" s="191">
        <v>242438.12220000001</v>
      </c>
      <c r="G183" s="553">
        <f>SUM(G184:G190)</f>
        <v>101502.16</v>
      </c>
      <c r="H183" s="189">
        <f t="shared" si="54"/>
        <v>-140935.96220000001</v>
      </c>
      <c r="I183" s="182">
        <f t="shared" si="55"/>
        <v>-0.58132756070323999</v>
      </c>
      <c r="J183" s="778" t="s">
        <v>817</v>
      </c>
      <c r="K183" s="189">
        <f t="shared" si="56"/>
        <v>-1035374.9699999999</v>
      </c>
      <c r="L183" s="182">
        <f t="shared" si="57"/>
        <v>-0.91071844324988749</v>
      </c>
      <c r="M183" s="778" t="s">
        <v>846</v>
      </c>
    </row>
    <row r="184" spans="1:13" x14ac:dyDescent="0.2">
      <c r="A184" s="242">
        <v>8100</v>
      </c>
      <c r="B184" s="266" t="s">
        <v>177</v>
      </c>
      <c r="C184" s="202"/>
      <c r="D184" s="202">
        <v>0</v>
      </c>
      <c r="E184" s="202"/>
      <c r="F184" s="202">
        <v>0</v>
      </c>
      <c r="G184" s="555"/>
      <c r="H184" s="189">
        <f t="shared" si="54"/>
        <v>0</v>
      </c>
      <c r="I184" s="182" t="str">
        <f t="shared" si="55"/>
        <v>-</v>
      </c>
      <c r="J184" s="779"/>
      <c r="K184" s="183">
        <f t="shared" si="56"/>
        <v>0</v>
      </c>
      <c r="L184" s="184" t="str">
        <f t="shared" si="57"/>
        <v>-</v>
      </c>
      <c r="M184" s="779"/>
    </row>
    <row r="185" spans="1:13" ht="18.75" customHeight="1" x14ac:dyDescent="0.2">
      <c r="A185" s="242">
        <v>8200</v>
      </c>
      <c r="B185" s="266" t="s">
        <v>113</v>
      </c>
      <c r="C185" s="202"/>
      <c r="D185" s="202">
        <v>0</v>
      </c>
      <c r="E185" s="202"/>
      <c r="F185" s="202">
        <v>0</v>
      </c>
      <c r="G185" s="555"/>
      <c r="H185" s="189">
        <f t="shared" si="54"/>
        <v>0</v>
      </c>
      <c r="I185" s="182" t="str">
        <f t="shared" si="55"/>
        <v>-</v>
      </c>
      <c r="J185" s="779"/>
      <c r="K185" s="183">
        <f t="shared" si="56"/>
        <v>0</v>
      </c>
      <c r="L185" s="184" t="str">
        <f t="shared" si="57"/>
        <v>-</v>
      </c>
      <c r="M185" s="779"/>
    </row>
    <row r="186" spans="1:13" x14ac:dyDescent="0.2">
      <c r="A186" s="242">
        <v>8300</v>
      </c>
      <c r="B186" s="266" t="s">
        <v>112</v>
      </c>
      <c r="C186" s="202">
        <v>18911.52</v>
      </c>
      <c r="D186" s="202">
        <v>19934.519999999997</v>
      </c>
      <c r="E186" s="202">
        <v>18911.52</v>
      </c>
      <c r="F186" s="202">
        <v>19934.519999999997</v>
      </c>
      <c r="G186" s="555">
        <f>2941.36+5994.09</f>
        <v>8935.4500000000007</v>
      </c>
      <c r="H186" s="189">
        <f t="shared" si="54"/>
        <v>-10999.069999999996</v>
      </c>
      <c r="I186" s="182">
        <f>IFERROR(H186/ABS(F186), "-")</f>
        <v>-0.55175996211596756</v>
      </c>
      <c r="J186" s="779"/>
      <c r="K186" s="183">
        <f t="shared" si="56"/>
        <v>-9976.07</v>
      </c>
      <c r="L186" s="184">
        <f t="shared" si="57"/>
        <v>-0.52751285988646068</v>
      </c>
      <c r="M186" s="779"/>
    </row>
    <row r="187" spans="1:13" ht="31.5" x14ac:dyDescent="0.2">
      <c r="A187" s="242">
        <v>8600</v>
      </c>
      <c r="B187" s="266" t="s">
        <v>178</v>
      </c>
      <c r="C187" s="202">
        <v>31452.79</v>
      </c>
      <c r="D187" s="202">
        <v>61453</v>
      </c>
      <c r="E187" s="202">
        <v>31452.79</v>
      </c>
      <c r="F187" s="202">
        <v>61453</v>
      </c>
      <c r="G187" s="555">
        <f>22371.63</f>
        <v>22371.63</v>
      </c>
      <c r="H187" s="189">
        <f t="shared" si="54"/>
        <v>-39081.369999999995</v>
      </c>
      <c r="I187" s="182">
        <f t="shared" si="55"/>
        <v>-0.63595544562511175</v>
      </c>
      <c r="J187" s="779"/>
      <c r="K187" s="183">
        <f t="shared" si="56"/>
        <v>-9081.16</v>
      </c>
      <c r="L187" s="184">
        <f t="shared" si="57"/>
        <v>-0.28872351228619147</v>
      </c>
      <c r="M187" s="779"/>
    </row>
    <row r="188" spans="1:13" ht="31.5" x14ac:dyDescent="0.2">
      <c r="A188" s="242">
        <v>8700</v>
      </c>
      <c r="B188" s="266" t="s">
        <v>352</v>
      </c>
      <c r="C188" s="202">
        <v>150991.39000000001</v>
      </c>
      <c r="D188" s="202">
        <v>150992</v>
      </c>
      <c r="E188" s="202">
        <v>150991.39000000001</v>
      </c>
      <c r="F188" s="202">
        <v>150992</v>
      </c>
      <c r="G188" s="555">
        <v>59664.56</v>
      </c>
      <c r="H188" s="189">
        <f t="shared" si="54"/>
        <v>-91327.44</v>
      </c>
      <c r="I188" s="182">
        <f t="shared" si="55"/>
        <v>-0.60484952845183848</v>
      </c>
      <c r="J188" s="779"/>
      <c r="K188" s="186">
        <f t="shared" si="56"/>
        <v>-91326.830000000016</v>
      </c>
      <c r="L188" s="184">
        <f t="shared" si="57"/>
        <v>-0.60484793205758292</v>
      </c>
      <c r="M188" s="779"/>
    </row>
    <row r="189" spans="1:13" ht="18.75" customHeight="1" x14ac:dyDescent="0.2">
      <c r="A189" s="242">
        <v>8800</v>
      </c>
      <c r="B189" s="243" t="s">
        <v>111</v>
      </c>
      <c r="C189" s="211">
        <f>3043.63+6730.59+9437.21-1</f>
        <v>19210.43</v>
      </c>
      <c r="D189" s="211">
        <v>10058.602199999999</v>
      </c>
      <c r="E189" s="211">
        <f>3043.63+6730.59+9437.21-1</f>
        <v>19210.43</v>
      </c>
      <c r="F189" s="211">
        <v>10058.602199999999</v>
      </c>
      <c r="G189" s="554">
        <f>5131.6+5398.92</f>
        <v>10530.52</v>
      </c>
      <c r="H189" s="189">
        <f t="shared" si="54"/>
        <v>471.91780000000108</v>
      </c>
      <c r="I189" s="182">
        <f t="shared" si="55"/>
        <v>4.691683701339746E-2</v>
      </c>
      <c r="J189" s="779"/>
      <c r="K189" s="183">
        <f t="shared" si="56"/>
        <v>-8679.91</v>
      </c>
      <c r="L189" s="184">
        <f t="shared" si="57"/>
        <v>-0.45183319686232948</v>
      </c>
      <c r="M189" s="779"/>
    </row>
    <row r="190" spans="1:13" ht="63" x14ac:dyDescent="0.2">
      <c r="A190" s="229">
        <v>8900</v>
      </c>
      <c r="B190" s="243" t="s">
        <v>179</v>
      </c>
      <c r="C190" s="211">
        <v>916311</v>
      </c>
      <c r="D190" s="211">
        <v>0</v>
      </c>
      <c r="E190" s="211">
        <v>916311</v>
      </c>
      <c r="F190" s="211">
        <v>0</v>
      </c>
      <c r="G190" s="554"/>
      <c r="H190" s="189">
        <f t="shared" si="54"/>
        <v>0</v>
      </c>
      <c r="I190" s="182" t="str">
        <f t="shared" si="55"/>
        <v>-</v>
      </c>
      <c r="J190" s="780"/>
      <c r="K190" s="183">
        <f t="shared" si="56"/>
        <v>-916311</v>
      </c>
      <c r="L190" s="184">
        <f t="shared" si="57"/>
        <v>-1</v>
      </c>
      <c r="M190" s="780"/>
    </row>
    <row r="191" spans="1:13" x14ac:dyDescent="0.2">
      <c r="A191" s="233" t="s">
        <v>114</v>
      </c>
      <c r="B191" s="259" t="s">
        <v>115</v>
      </c>
      <c r="C191" s="191">
        <f>C163+C165+C183</f>
        <v>23122654.23</v>
      </c>
      <c r="D191" s="191">
        <v>23855166.782244243</v>
      </c>
      <c r="E191" s="191">
        <f>E163+E165+E183</f>
        <v>23122654.23</v>
      </c>
      <c r="F191" s="191">
        <v>23855166.782244243</v>
      </c>
      <c r="G191" s="553">
        <f t="shared" ref="G191" si="64">G163+G165+G183</f>
        <v>25043712.140000001</v>
      </c>
      <c r="H191" s="189">
        <f t="shared" si="54"/>
        <v>1188545.3577557579</v>
      </c>
      <c r="I191" s="182">
        <f t="shared" si="55"/>
        <v>4.9823393338855632E-2</v>
      </c>
      <c r="J191" s="331"/>
      <c r="K191" s="189">
        <f t="shared" si="56"/>
        <v>1921057.9100000001</v>
      </c>
      <c r="L191" s="182">
        <f t="shared" si="57"/>
        <v>8.308120213585013E-2</v>
      </c>
      <c r="M191" s="331"/>
    </row>
    <row r="192" spans="1:13" x14ac:dyDescent="0.2">
      <c r="A192" s="268" t="s">
        <v>180</v>
      </c>
      <c r="B192" s="328" t="s">
        <v>116</v>
      </c>
      <c r="C192" s="215">
        <v>0</v>
      </c>
      <c r="D192" s="202">
        <v>0</v>
      </c>
      <c r="E192" s="215">
        <v>0</v>
      </c>
      <c r="F192" s="202">
        <v>0</v>
      </c>
      <c r="G192" s="560">
        <v>0</v>
      </c>
      <c r="H192" s="189">
        <f t="shared" si="54"/>
        <v>0</v>
      </c>
      <c r="I192" s="182" t="str">
        <f t="shared" si="55"/>
        <v>-</v>
      </c>
      <c r="J192" s="343"/>
      <c r="K192" s="183">
        <f t="shared" si="56"/>
        <v>0</v>
      </c>
      <c r="L192" s="184" t="str">
        <f t="shared" si="57"/>
        <v>-</v>
      </c>
      <c r="M192" s="343"/>
    </row>
    <row r="193" spans="1:13" x14ac:dyDescent="0.2">
      <c r="A193" s="233" t="s">
        <v>181</v>
      </c>
      <c r="B193" s="259" t="s">
        <v>117</v>
      </c>
      <c r="C193" s="191">
        <f>C172+C173-C183-C192</f>
        <v>-221914.65999999596</v>
      </c>
      <c r="D193" s="191">
        <v>102089.12985575589</v>
      </c>
      <c r="E193" s="191">
        <f>E172+E173-E183-E192</f>
        <v>-221914.65999999596</v>
      </c>
      <c r="F193" s="191">
        <v>102089.12985575589</v>
      </c>
      <c r="G193" s="553">
        <f>G172+G173-G183-G192</f>
        <v>191758.439999997</v>
      </c>
      <c r="H193" s="189">
        <f t="shared" si="54"/>
        <v>89669.310144241113</v>
      </c>
      <c r="I193" s="182">
        <f t="shared" si="55"/>
        <v>0.87834336790740575</v>
      </c>
      <c r="J193" s="331"/>
      <c r="K193" s="189">
        <f t="shared" si="56"/>
        <v>413673.09999999299</v>
      </c>
      <c r="L193" s="182">
        <f t="shared" si="57"/>
        <v>1.864108932686108</v>
      </c>
      <c r="M193" s="331"/>
    </row>
    <row r="195" spans="1:13" x14ac:dyDescent="0.2">
      <c r="A195" s="217" t="s">
        <v>544</v>
      </c>
    </row>
    <row r="196" spans="1:13" x14ac:dyDescent="0.2">
      <c r="A196" s="768" t="s">
        <v>660</v>
      </c>
      <c r="B196" s="768"/>
      <c r="C196" s="768"/>
      <c r="D196" s="768"/>
      <c r="E196" s="768"/>
      <c r="F196" s="768"/>
      <c r="G196" s="768"/>
      <c r="H196" s="768"/>
      <c r="I196" s="768"/>
      <c r="J196" s="768"/>
      <c r="K196" s="316"/>
      <c r="L196" s="217"/>
      <c r="M196" s="217"/>
    </row>
    <row r="197" spans="1:13" ht="18.75" x14ac:dyDescent="0.2">
      <c r="A197" s="217" t="s">
        <v>661</v>
      </c>
    </row>
    <row r="198" spans="1:13" x14ac:dyDescent="0.2">
      <c r="A198" s="217" t="s">
        <v>603</v>
      </c>
    </row>
    <row r="205" spans="1:13" x14ac:dyDescent="0.2">
      <c r="H205" s="320"/>
      <c r="J205" s="320"/>
    </row>
  </sheetData>
  <sheetProtection formatColumns="0" formatRows="0"/>
  <mergeCells count="52">
    <mergeCell ref="J183:J190"/>
    <mergeCell ref="M16:M20"/>
    <mergeCell ref="M13:M15"/>
    <mergeCell ref="M10:M12"/>
    <mergeCell ref="M129:M135"/>
    <mergeCell ref="M121:M123"/>
    <mergeCell ref="M109:M112"/>
    <mergeCell ref="M104:M108"/>
    <mergeCell ref="M97:M101"/>
    <mergeCell ref="M91:M96"/>
    <mergeCell ref="M83:M89"/>
    <mergeCell ref="M69:M74"/>
    <mergeCell ref="M64:M66"/>
    <mergeCell ref="M61:M63"/>
    <mergeCell ref="J151:J153"/>
    <mergeCell ref="M183:M190"/>
    <mergeCell ref="M53:M58"/>
    <mergeCell ref="M40:M48"/>
    <mergeCell ref="M25:M28"/>
    <mergeCell ref="M22:M24"/>
    <mergeCell ref="M37:M39"/>
    <mergeCell ref="A196:J196"/>
    <mergeCell ref="J10:J12"/>
    <mergeCell ref="J13:J15"/>
    <mergeCell ref="J16:J20"/>
    <mergeCell ref="J22:J24"/>
    <mergeCell ref="J25:J28"/>
    <mergeCell ref="J40:J48"/>
    <mergeCell ref="J53:J58"/>
    <mergeCell ref="J61:J63"/>
    <mergeCell ref="J64:J66"/>
    <mergeCell ref="J69:J74"/>
    <mergeCell ref="J83:J89"/>
    <mergeCell ref="J91:J96"/>
    <mergeCell ref="J104:J108"/>
    <mergeCell ref="J109:J112"/>
    <mergeCell ref="J97:J101"/>
    <mergeCell ref="J121:J123"/>
    <mergeCell ref="J129:J135"/>
    <mergeCell ref="M173:M180"/>
    <mergeCell ref="M167:M171"/>
    <mergeCell ref="M158:M162"/>
    <mergeCell ref="M154:M157"/>
    <mergeCell ref="J154:J157"/>
    <mergeCell ref="J158:J162"/>
    <mergeCell ref="J167:J171"/>
    <mergeCell ref="J173:J180"/>
    <mergeCell ref="J125:J126"/>
    <mergeCell ref="M125:M126"/>
    <mergeCell ref="M151:M153"/>
    <mergeCell ref="M140:M147"/>
    <mergeCell ref="J140:J147"/>
  </mergeCells>
  <pageMargins left="0.70866141732283472" right="0.70866141732283472" top="0.59055118110236227" bottom="0.74803149606299213" header="0.31496062992125984" footer="0.31496062992125984"/>
  <pageSetup paperSize="9" scale="30" fitToHeight="0" orientation="portrait" r:id="rId1"/>
  <headerFooter>
    <oddHeader xml:space="preserve">&amp;C&amp;"Times New Roman,Bold"&amp;14
Budžeta&amp;"Times New Roman,Regular" &amp;"Times New Roman,Bold"tāme&amp;R&amp;"Times New Roman,Regular"&amp;14 1.pielikums
</oddHeader>
    <oddFooter>&amp;C&amp;"Times New Roman,Regular"&amp;12&amp;F&amp;R&amp;"Times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2">
    <tabColor rgb="FF92D050"/>
    <pageSetUpPr fitToPage="1"/>
  </sheetPr>
  <dimension ref="A1:M34"/>
  <sheetViews>
    <sheetView topLeftCell="B13" zoomScale="85" zoomScaleNormal="85" zoomScalePageLayoutView="70" workbookViewId="0">
      <selection activeCell="D34" sqref="D34"/>
    </sheetView>
  </sheetViews>
  <sheetFormatPr defaultRowHeight="18" x14ac:dyDescent="0.2"/>
  <cols>
    <col min="1" max="1" width="9.28515625" style="5" hidden="1" customWidth="1"/>
    <col min="2" max="2" width="28.140625" style="5" customWidth="1"/>
    <col min="3" max="6" width="16.5703125" style="5" customWidth="1"/>
    <col min="7" max="7" width="21" style="5" customWidth="1"/>
    <col min="8" max="9" width="16.5703125" style="5" customWidth="1"/>
    <col min="10" max="10" width="70.5703125" style="5" customWidth="1"/>
    <col min="11" max="12" width="16.5703125" style="5" customWidth="1"/>
    <col min="13" max="13" width="49" style="5" customWidth="1"/>
    <col min="14" max="16384" width="9.140625" style="5"/>
  </cols>
  <sheetData>
    <row r="1" spans="1:13" ht="131.25" x14ac:dyDescent="0.2">
      <c r="A1" s="536" t="s">
        <v>464</v>
      </c>
      <c r="B1" s="101" t="s">
        <v>443</v>
      </c>
      <c r="C1" s="1" t="s">
        <v>693</v>
      </c>
      <c r="D1" s="1" t="s">
        <v>682</v>
      </c>
      <c r="E1" s="669" t="s">
        <v>776</v>
      </c>
      <c r="F1" s="669" t="s">
        <v>777</v>
      </c>
      <c r="G1" s="669" t="s">
        <v>779</v>
      </c>
      <c r="H1" s="7" t="s">
        <v>689</v>
      </c>
      <c r="I1" s="7" t="s">
        <v>684</v>
      </c>
      <c r="J1" s="46" t="s">
        <v>679</v>
      </c>
      <c r="K1" s="7" t="s">
        <v>690</v>
      </c>
      <c r="L1" s="7" t="s">
        <v>686</v>
      </c>
      <c r="M1" s="46" t="s">
        <v>679</v>
      </c>
    </row>
    <row r="2" spans="1:13" ht="18.75" x14ac:dyDescent="0.2">
      <c r="A2" s="101">
        <v>1</v>
      </c>
      <c r="B2" s="101">
        <v>2</v>
      </c>
      <c r="C2" s="1">
        <v>3</v>
      </c>
      <c r="D2" s="1">
        <v>4</v>
      </c>
      <c r="E2" s="669">
        <v>5</v>
      </c>
      <c r="F2" s="669">
        <v>6</v>
      </c>
      <c r="G2" s="669">
        <v>7</v>
      </c>
      <c r="H2" s="7">
        <v>8</v>
      </c>
      <c r="I2" s="7">
        <v>9</v>
      </c>
      <c r="J2" s="46">
        <v>10</v>
      </c>
      <c r="K2" s="7">
        <v>11</v>
      </c>
      <c r="L2" s="7">
        <v>12</v>
      </c>
      <c r="M2" s="46">
        <v>13</v>
      </c>
    </row>
    <row r="3" spans="1:13" ht="187.5" x14ac:dyDescent="0.2">
      <c r="A3" s="101">
        <v>1</v>
      </c>
      <c r="B3" s="537" t="s">
        <v>444</v>
      </c>
      <c r="C3" s="538">
        <v>22372251</v>
      </c>
      <c r="D3" s="538">
        <v>23357404</v>
      </c>
      <c r="E3" s="670">
        <v>22372251</v>
      </c>
      <c r="F3" s="670">
        <v>23357404</v>
      </c>
      <c r="G3" s="671">
        <v>24603955</v>
      </c>
      <c r="H3" s="539">
        <f>G3-F3</f>
        <v>1246551</v>
      </c>
      <c r="I3" s="78">
        <f>IFERROR(H3/ABS(F3), "-")</f>
        <v>5.3368559279961078E-2</v>
      </c>
      <c r="J3" s="541" t="s">
        <v>860</v>
      </c>
      <c r="K3" s="539">
        <f>G3-E3</f>
        <v>2231704</v>
      </c>
      <c r="L3" s="78">
        <f>IFERROR(K3/ABS(E3), "-")</f>
        <v>9.9753216607483972E-2</v>
      </c>
      <c r="M3" s="667" t="s">
        <v>861</v>
      </c>
    </row>
    <row r="4" spans="1:13" ht="337.5" x14ac:dyDescent="0.2">
      <c r="A4" s="101">
        <v>2</v>
      </c>
      <c r="B4" s="537" t="s">
        <v>445</v>
      </c>
      <c r="C4" s="538">
        <v>21195928</v>
      </c>
      <c r="D4" s="538">
        <v>22041133</v>
      </c>
      <c r="E4" s="670">
        <v>21195928</v>
      </c>
      <c r="F4" s="670">
        <v>22041133</v>
      </c>
      <c r="G4" s="672">
        <v>23063661</v>
      </c>
      <c r="H4" s="539">
        <f t="shared" ref="H4:H22" si="0">G4-F4</f>
        <v>1022528</v>
      </c>
      <c r="I4" s="668">
        <f t="shared" ref="I4:I22" si="1">IFERROR(H4/ABS(F4), "-")</f>
        <v>4.6391807535483769E-2</v>
      </c>
      <c r="K4" s="539">
        <f t="shared" ref="K4:K22" si="2">G4-E4</f>
        <v>1867733</v>
      </c>
      <c r="L4" s="78">
        <f t="shared" ref="L4:L22" si="3">IFERROR(K4/ABS(E4), "-")</f>
        <v>8.8117538425305092E-2</v>
      </c>
      <c r="M4" s="541" t="s">
        <v>885</v>
      </c>
    </row>
    <row r="5" spans="1:13" ht="56.25" x14ac:dyDescent="0.2">
      <c r="A5" s="542">
        <v>3</v>
      </c>
      <c r="B5" s="543" t="s">
        <v>446</v>
      </c>
      <c r="C5" s="544">
        <v>1176323</v>
      </c>
      <c r="D5" s="544">
        <f>D3-D4</f>
        <v>1316271</v>
      </c>
      <c r="E5" s="673">
        <v>1176323</v>
      </c>
      <c r="F5" s="673">
        <f>F3-F4</f>
        <v>1316271</v>
      </c>
      <c r="G5" s="674">
        <f>G3-G4</f>
        <v>1540294</v>
      </c>
      <c r="H5" s="546">
        <f t="shared" si="0"/>
        <v>224023</v>
      </c>
      <c r="I5" s="547">
        <f t="shared" si="1"/>
        <v>0.17019519536630376</v>
      </c>
      <c r="J5" s="548"/>
      <c r="K5" s="546">
        <f t="shared" si="2"/>
        <v>363971</v>
      </c>
      <c r="L5" s="547">
        <f t="shared" si="3"/>
        <v>0.30941416600712557</v>
      </c>
      <c r="M5" s="549"/>
    </row>
    <row r="6" spans="1:13" ht="18.75" x14ac:dyDescent="0.2">
      <c r="A6" s="101">
        <v>4</v>
      </c>
      <c r="B6" s="537" t="s">
        <v>447</v>
      </c>
      <c r="C6" s="538"/>
      <c r="D6" s="538"/>
      <c r="E6" s="670"/>
      <c r="F6" s="670"/>
      <c r="G6" s="670"/>
      <c r="H6" s="539">
        <f t="shared" si="0"/>
        <v>0</v>
      </c>
      <c r="I6" s="78" t="str">
        <f t="shared" si="1"/>
        <v>-</v>
      </c>
      <c r="J6" s="550"/>
      <c r="K6" s="539">
        <f t="shared" si="2"/>
        <v>0</v>
      </c>
      <c r="L6" s="78" t="str">
        <f t="shared" si="3"/>
        <v>-</v>
      </c>
      <c r="M6" s="550"/>
    </row>
    <row r="7" spans="1:13" ht="37.5" x14ac:dyDescent="0.2">
      <c r="A7" s="101">
        <v>5</v>
      </c>
      <c r="B7" s="537" t="s">
        <v>448</v>
      </c>
      <c r="C7" s="538">
        <v>1140827</v>
      </c>
      <c r="D7" s="538">
        <v>1146123</v>
      </c>
      <c r="E7" s="670">
        <v>1140827</v>
      </c>
      <c r="F7" s="670">
        <v>1146123</v>
      </c>
      <c r="G7" s="675">
        <v>1094473</v>
      </c>
      <c r="H7" s="539">
        <f t="shared" si="0"/>
        <v>-51650</v>
      </c>
      <c r="I7" s="668">
        <f t="shared" si="1"/>
        <v>-4.5064971211641332E-2</v>
      </c>
      <c r="J7" s="540"/>
      <c r="K7" s="539">
        <f>G7-E7</f>
        <v>-46354</v>
      </c>
      <c r="L7" s="78">
        <f t="shared" si="3"/>
        <v>-4.0631927540284371E-2</v>
      </c>
      <c r="M7" s="540"/>
    </row>
    <row r="8" spans="1:13" ht="150" x14ac:dyDescent="0.2">
      <c r="A8" s="101">
        <v>6</v>
      </c>
      <c r="B8" s="537" t="s">
        <v>449</v>
      </c>
      <c r="C8" s="538">
        <v>528431</v>
      </c>
      <c r="D8" s="538">
        <v>599852</v>
      </c>
      <c r="E8" s="670">
        <v>528431</v>
      </c>
      <c r="F8" s="670">
        <v>599852</v>
      </c>
      <c r="G8" s="676">
        <v>631452</v>
      </c>
      <c r="H8" s="539">
        <f t="shared" si="0"/>
        <v>31600</v>
      </c>
      <c r="I8" s="78">
        <f t="shared" si="1"/>
        <v>5.2679660983042484E-2</v>
      </c>
      <c r="J8" s="541" t="s">
        <v>862</v>
      </c>
      <c r="K8" s="539">
        <f t="shared" si="2"/>
        <v>103021</v>
      </c>
      <c r="L8" s="78">
        <f t="shared" si="3"/>
        <v>0.19495638976517274</v>
      </c>
      <c r="M8" s="541" t="s">
        <v>863</v>
      </c>
    </row>
    <row r="9" spans="1:13" ht="318.75" x14ac:dyDescent="0.2">
      <c r="A9" s="101">
        <v>7</v>
      </c>
      <c r="B9" s="537" t="s">
        <v>450</v>
      </c>
      <c r="C9" s="538">
        <f>776462+9437</f>
        <v>785899</v>
      </c>
      <c r="D9" s="538">
        <v>667911</v>
      </c>
      <c r="E9" s="670">
        <f>776462+9437</f>
        <v>785899</v>
      </c>
      <c r="F9" s="670">
        <v>667911</v>
      </c>
      <c r="G9" s="672">
        <v>885578</v>
      </c>
      <c r="H9" s="539">
        <f t="shared" si="0"/>
        <v>217667</v>
      </c>
      <c r="I9" s="78">
        <f t="shared" si="1"/>
        <v>0.32589222216732466</v>
      </c>
      <c r="J9" s="541" t="s">
        <v>864</v>
      </c>
      <c r="K9" s="539">
        <f t="shared" si="2"/>
        <v>99679</v>
      </c>
      <c r="L9" s="78">
        <f t="shared" si="3"/>
        <v>0.12683436421219521</v>
      </c>
      <c r="M9" s="541" t="s">
        <v>886</v>
      </c>
    </row>
    <row r="10" spans="1:13" ht="56.25" x14ac:dyDescent="0.2">
      <c r="A10" s="101">
        <v>8</v>
      </c>
      <c r="B10" s="537" t="s">
        <v>451</v>
      </c>
      <c r="C10" s="538"/>
      <c r="D10" s="538"/>
      <c r="E10" s="670"/>
      <c r="F10" s="670"/>
      <c r="G10" s="670"/>
      <c r="H10" s="539">
        <f>G10-F10</f>
        <v>0</v>
      </c>
      <c r="I10" s="78" t="str">
        <f>IFERROR(H10/ABS(F10), "-")</f>
        <v>-</v>
      </c>
      <c r="J10" s="550"/>
      <c r="K10" s="539">
        <f t="shared" si="2"/>
        <v>0</v>
      </c>
      <c r="L10" s="78" t="str">
        <f t="shared" si="3"/>
        <v>-</v>
      </c>
      <c r="M10" s="550"/>
    </row>
    <row r="11" spans="1:13" ht="93.75" x14ac:dyDescent="0.2">
      <c r="A11" s="101">
        <v>9</v>
      </c>
      <c r="B11" s="537" t="s">
        <v>452</v>
      </c>
      <c r="C11" s="538"/>
      <c r="D11" s="538"/>
      <c r="E11" s="670"/>
      <c r="F11" s="670"/>
      <c r="G11" s="670"/>
      <c r="H11" s="539">
        <f t="shared" si="0"/>
        <v>0</v>
      </c>
      <c r="I11" s="78" t="str">
        <f t="shared" si="1"/>
        <v>-</v>
      </c>
      <c r="J11" s="550"/>
      <c r="K11" s="539">
        <f t="shared" si="2"/>
        <v>0</v>
      </c>
      <c r="L11" s="78" t="str">
        <f t="shared" si="3"/>
        <v>-</v>
      </c>
      <c r="M11" s="550"/>
    </row>
    <row r="12" spans="1:13" ht="56.25" x14ac:dyDescent="0.2">
      <c r="A12" s="101">
        <v>10</v>
      </c>
      <c r="B12" s="537" t="s">
        <v>453</v>
      </c>
      <c r="C12" s="538">
        <v>57</v>
      </c>
      <c r="D12" s="538"/>
      <c r="E12" s="670">
        <v>57</v>
      </c>
      <c r="F12" s="670"/>
      <c r="G12" s="670">
        <v>63</v>
      </c>
      <c r="H12" s="539">
        <f t="shared" si="0"/>
        <v>63</v>
      </c>
      <c r="I12" s="78" t="str">
        <f t="shared" si="1"/>
        <v>-</v>
      </c>
      <c r="J12" s="540"/>
      <c r="K12" s="539">
        <f t="shared" si="2"/>
        <v>6</v>
      </c>
      <c r="L12" s="78">
        <f t="shared" si="3"/>
        <v>0.10526315789473684</v>
      </c>
      <c r="M12" s="782" t="s">
        <v>865</v>
      </c>
    </row>
    <row r="13" spans="1:13" ht="75" x14ac:dyDescent="0.2">
      <c r="A13" s="101">
        <v>11</v>
      </c>
      <c r="B13" s="537" t="s">
        <v>454</v>
      </c>
      <c r="C13" s="538"/>
      <c r="D13" s="538"/>
      <c r="E13" s="670"/>
      <c r="F13" s="670"/>
      <c r="G13" s="670"/>
      <c r="H13" s="539">
        <f t="shared" si="0"/>
        <v>0</v>
      </c>
      <c r="I13" s="78" t="str">
        <f t="shared" si="1"/>
        <v>-</v>
      </c>
      <c r="J13" s="550"/>
      <c r="K13" s="539">
        <f t="shared" si="2"/>
        <v>0</v>
      </c>
      <c r="L13" s="78" t="str">
        <f t="shared" si="3"/>
        <v>-</v>
      </c>
      <c r="M13" s="783"/>
    </row>
    <row r="14" spans="1:13" ht="37.5" x14ac:dyDescent="0.2">
      <c r="A14" s="101">
        <v>12</v>
      </c>
      <c r="B14" s="537" t="s">
        <v>455</v>
      </c>
      <c r="C14" s="538"/>
      <c r="D14" s="538"/>
      <c r="E14" s="670"/>
      <c r="F14" s="670"/>
      <c r="G14" s="670"/>
      <c r="H14" s="539">
        <f t="shared" si="0"/>
        <v>0</v>
      </c>
      <c r="I14" s="78" t="str">
        <f t="shared" si="1"/>
        <v>-</v>
      </c>
      <c r="J14" s="540"/>
      <c r="K14" s="539">
        <f t="shared" si="2"/>
        <v>0</v>
      </c>
      <c r="L14" s="78" t="str">
        <f t="shared" si="3"/>
        <v>-</v>
      </c>
      <c r="M14" s="784"/>
    </row>
    <row r="15" spans="1:13" ht="75" x14ac:dyDescent="0.2">
      <c r="A15" s="542">
        <v>13</v>
      </c>
      <c r="B15" s="543" t="s">
        <v>456</v>
      </c>
      <c r="C15" s="545">
        <v>-221915</v>
      </c>
      <c r="D15" s="545">
        <v>102089</v>
      </c>
      <c r="E15" s="674">
        <v>-221915</v>
      </c>
      <c r="F15" s="674">
        <v>102089</v>
      </c>
      <c r="G15" s="674">
        <f>G5-G7+G8-G9+G12</f>
        <v>191758</v>
      </c>
      <c r="H15" s="546">
        <f t="shared" si="0"/>
        <v>89669</v>
      </c>
      <c r="I15" s="547">
        <f t="shared" si="1"/>
        <v>0.87834144716864693</v>
      </c>
      <c r="J15" s="549"/>
      <c r="K15" s="546">
        <f t="shared" si="2"/>
        <v>413673</v>
      </c>
      <c r="L15" s="547">
        <f t="shared" si="3"/>
        <v>1.8641056260279838</v>
      </c>
      <c r="M15" s="549"/>
    </row>
    <row r="16" spans="1:13" ht="18.75" x14ac:dyDescent="0.2">
      <c r="A16" s="101">
        <v>14</v>
      </c>
      <c r="B16" s="537" t="s">
        <v>457</v>
      </c>
      <c r="C16" s="538"/>
      <c r="D16" s="538"/>
      <c r="E16" s="670"/>
      <c r="F16" s="670"/>
      <c r="G16" s="670"/>
      <c r="H16" s="539">
        <f t="shared" si="0"/>
        <v>0</v>
      </c>
      <c r="I16" s="78" t="str">
        <f t="shared" si="1"/>
        <v>-</v>
      </c>
      <c r="J16" s="550"/>
      <c r="K16" s="539">
        <f t="shared" si="2"/>
        <v>0</v>
      </c>
      <c r="L16" s="78" t="str">
        <f t="shared" si="3"/>
        <v>-</v>
      </c>
      <c r="M16" s="550"/>
    </row>
    <row r="17" spans="1:13" ht="18.75" x14ac:dyDescent="0.2">
      <c r="A17" s="101">
        <v>15</v>
      </c>
      <c r="B17" s="537" t="s">
        <v>458</v>
      </c>
      <c r="C17" s="538"/>
      <c r="D17" s="538"/>
      <c r="E17" s="670"/>
      <c r="F17" s="670"/>
      <c r="G17" s="670"/>
      <c r="H17" s="539">
        <f t="shared" si="0"/>
        <v>0</v>
      </c>
      <c r="I17" s="78" t="str">
        <f t="shared" si="1"/>
        <v>-</v>
      </c>
      <c r="J17" s="550"/>
      <c r="K17" s="539">
        <f t="shared" si="2"/>
        <v>0</v>
      </c>
      <c r="L17" s="78" t="str">
        <f t="shared" si="3"/>
        <v>-</v>
      </c>
      <c r="M17" s="550"/>
    </row>
    <row r="18" spans="1:13" ht="56.25" x14ac:dyDescent="0.2">
      <c r="A18" s="101">
        <v>16</v>
      </c>
      <c r="B18" s="537" t="s">
        <v>459</v>
      </c>
      <c r="C18" s="538"/>
      <c r="D18" s="538"/>
      <c r="E18" s="670"/>
      <c r="F18" s="670"/>
      <c r="G18" s="670"/>
      <c r="H18" s="539">
        <f t="shared" si="0"/>
        <v>0</v>
      </c>
      <c r="I18" s="78" t="str">
        <f t="shared" si="1"/>
        <v>-</v>
      </c>
      <c r="J18" s="550"/>
      <c r="K18" s="539">
        <f t="shared" si="2"/>
        <v>0</v>
      </c>
      <c r="L18" s="78" t="str">
        <f t="shared" si="3"/>
        <v>-</v>
      </c>
      <c r="M18" s="550"/>
    </row>
    <row r="19" spans="1:13" ht="56.25" x14ac:dyDescent="0.2">
      <c r="A19" s="101">
        <v>17</v>
      </c>
      <c r="B19" s="537" t="s">
        <v>460</v>
      </c>
      <c r="C19" s="538"/>
      <c r="D19" s="538"/>
      <c r="E19" s="670"/>
      <c r="F19" s="670"/>
      <c r="G19" s="670"/>
      <c r="H19" s="539">
        <f t="shared" si="0"/>
        <v>0</v>
      </c>
      <c r="I19" s="78" t="str">
        <f t="shared" si="1"/>
        <v>-</v>
      </c>
      <c r="J19" s="550"/>
      <c r="K19" s="539">
        <f t="shared" si="2"/>
        <v>0</v>
      </c>
      <c r="L19" s="78" t="str">
        <f t="shared" si="3"/>
        <v>-</v>
      </c>
      <c r="M19" s="550"/>
    </row>
    <row r="20" spans="1:13" ht="37.5" x14ac:dyDescent="0.2">
      <c r="A20" s="101">
        <v>18</v>
      </c>
      <c r="B20" s="537" t="s">
        <v>461</v>
      </c>
      <c r="C20" s="538"/>
      <c r="D20" s="538"/>
      <c r="E20" s="670"/>
      <c r="F20" s="670"/>
      <c r="G20" s="670"/>
      <c r="H20" s="539">
        <f t="shared" si="0"/>
        <v>0</v>
      </c>
      <c r="I20" s="78" t="str">
        <f t="shared" si="1"/>
        <v>-</v>
      </c>
      <c r="J20" s="550"/>
      <c r="K20" s="539">
        <f t="shared" si="2"/>
        <v>0</v>
      </c>
      <c r="L20" s="78" t="str">
        <f t="shared" si="3"/>
        <v>-</v>
      </c>
      <c r="M20" s="550"/>
    </row>
    <row r="21" spans="1:13" ht="18.75" x14ac:dyDescent="0.2">
      <c r="A21" s="101">
        <v>19</v>
      </c>
      <c r="B21" s="537" t="s">
        <v>462</v>
      </c>
      <c r="C21" s="538"/>
      <c r="D21" s="538"/>
      <c r="E21" s="670"/>
      <c r="F21" s="670"/>
      <c r="G21" s="670"/>
      <c r="H21" s="539">
        <f t="shared" si="0"/>
        <v>0</v>
      </c>
      <c r="I21" s="78" t="str">
        <f t="shared" si="1"/>
        <v>-</v>
      </c>
      <c r="J21" s="550"/>
      <c r="K21" s="539">
        <f t="shared" si="2"/>
        <v>0</v>
      </c>
      <c r="L21" s="78" t="str">
        <f t="shared" si="3"/>
        <v>-</v>
      </c>
      <c r="M21" s="550"/>
    </row>
    <row r="22" spans="1:13" ht="56.25" x14ac:dyDescent="0.2">
      <c r="A22" s="542">
        <v>20</v>
      </c>
      <c r="B22" s="543" t="s">
        <v>463</v>
      </c>
      <c r="C22" s="545">
        <v>-221915</v>
      </c>
      <c r="D22" s="545">
        <f>D3-D4-D7+D8-D9</f>
        <v>102089</v>
      </c>
      <c r="E22" s="674">
        <v>-221915</v>
      </c>
      <c r="F22" s="674">
        <f>F3-F4-F7+F8-F9</f>
        <v>102089</v>
      </c>
      <c r="G22" s="674">
        <f>G15</f>
        <v>191758</v>
      </c>
      <c r="H22" s="546">
        <f t="shared" si="0"/>
        <v>89669</v>
      </c>
      <c r="I22" s="547">
        <f t="shared" si="1"/>
        <v>0.87834144716864693</v>
      </c>
      <c r="J22" s="549"/>
      <c r="K22" s="546">
        <f t="shared" si="2"/>
        <v>413673</v>
      </c>
      <c r="L22" s="547">
        <f t="shared" si="3"/>
        <v>1.8641056260279838</v>
      </c>
      <c r="M22" s="549"/>
    </row>
    <row r="23" spans="1:13" ht="19.5" x14ac:dyDescent="0.2">
      <c r="A23" s="126"/>
      <c r="B23" s="127"/>
      <c r="C23" s="128"/>
      <c r="D23" s="128"/>
      <c r="E23" s="128"/>
      <c r="F23" s="128"/>
      <c r="G23" s="128"/>
      <c r="H23" s="219"/>
      <c r="I23" s="220"/>
      <c r="J23" s="345"/>
      <c r="K23" s="219"/>
      <c r="L23" s="220"/>
      <c r="M23" s="345"/>
    </row>
    <row r="24" spans="1:13" ht="18.75" x14ac:dyDescent="0.2">
      <c r="A24" s="221"/>
      <c r="B24" s="129"/>
      <c r="C24" s="129"/>
      <c r="D24" s="129"/>
      <c r="E24" s="129"/>
      <c r="F24" s="129"/>
      <c r="G24" s="129"/>
      <c r="H24" s="129"/>
      <c r="I24" s="129"/>
      <c r="J24" s="129"/>
      <c r="K24" s="129"/>
      <c r="L24" s="129"/>
      <c r="M24" s="129"/>
    </row>
    <row r="25" spans="1:13" ht="18.75" x14ac:dyDescent="0.2">
      <c r="A25" s="781"/>
      <c r="B25" s="781"/>
      <c r="C25" s="781"/>
      <c r="D25" s="781"/>
      <c r="E25" s="781"/>
      <c r="F25" s="781"/>
      <c r="G25" s="781"/>
      <c r="H25" s="781"/>
      <c r="J25" s="399"/>
    </row>
    <row r="26" spans="1:13" ht="18.75" x14ac:dyDescent="0.2">
      <c r="A26" s="131"/>
      <c r="B26" s="129"/>
      <c r="C26" s="129"/>
      <c r="D26" s="129"/>
      <c r="E26" s="427"/>
      <c r="F26" s="129"/>
      <c r="G26" s="427"/>
      <c r="H26" s="129"/>
      <c r="I26" s="129"/>
      <c r="J26" s="400"/>
      <c r="K26" s="129"/>
      <c r="L26" s="129"/>
      <c r="M26" s="129"/>
    </row>
    <row r="27" spans="1:13" x14ac:dyDescent="0.2">
      <c r="A27" s="129"/>
      <c r="B27" s="129"/>
      <c r="C27" s="129"/>
      <c r="D27" s="129"/>
      <c r="E27" s="427"/>
      <c r="F27" s="129"/>
      <c r="G27" s="427"/>
      <c r="H27" s="129"/>
      <c r="I27" s="129"/>
      <c r="J27" s="400"/>
      <c r="K27" s="129"/>
      <c r="L27" s="129"/>
      <c r="M27" s="129"/>
    </row>
    <row r="28" spans="1:13" x14ac:dyDescent="0.2">
      <c r="A28" s="129"/>
      <c r="B28" s="129"/>
      <c r="C28" s="129"/>
      <c r="D28" s="129"/>
      <c r="E28" s="427"/>
      <c r="F28" s="129"/>
      <c r="G28" s="427"/>
      <c r="H28" s="129"/>
      <c r="I28" s="129"/>
      <c r="J28" s="400"/>
      <c r="K28" s="129"/>
      <c r="L28" s="129"/>
      <c r="M28" s="129"/>
    </row>
    <row r="29" spans="1:13" ht="18.75" x14ac:dyDescent="0.2">
      <c r="A29" s="130"/>
      <c r="B29" s="131"/>
      <c r="C29" s="132"/>
      <c r="D29" s="132"/>
      <c r="E29" s="132"/>
      <c r="F29" s="132"/>
      <c r="G29" s="132"/>
      <c r="H29" s="132"/>
      <c r="I29" s="132"/>
      <c r="J29" s="401"/>
      <c r="K29" s="132"/>
      <c r="L29" s="132"/>
      <c r="M29" s="132"/>
    </row>
    <row r="30" spans="1:13" ht="18.75" x14ac:dyDescent="0.2">
      <c r="A30" s="130"/>
      <c r="B30" s="131"/>
      <c r="C30" s="132"/>
      <c r="D30" s="132"/>
      <c r="E30" s="132"/>
      <c r="F30" s="132"/>
      <c r="G30" s="132"/>
      <c r="H30" s="132"/>
      <c r="I30" s="132"/>
      <c r="J30" s="401"/>
      <c r="K30" s="132"/>
      <c r="L30" s="132"/>
      <c r="M30" s="132"/>
    </row>
    <row r="31" spans="1:13" ht="18.75" x14ac:dyDescent="0.2">
      <c r="A31" s="130"/>
      <c r="B31" s="131"/>
      <c r="C31" s="132"/>
      <c r="D31" s="132"/>
      <c r="E31" s="132"/>
      <c r="F31" s="132"/>
      <c r="G31" s="132"/>
      <c r="H31" s="132"/>
      <c r="I31" s="132"/>
      <c r="J31" s="132"/>
      <c r="K31" s="132"/>
      <c r="L31" s="132"/>
      <c r="M31" s="132"/>
    </row>
    <row r="32" spans="1:13" ht="18.75" x14ac:dyDescent="0.2">
      <c r="A32" s="130"/>
      <c r="B32" s="131"/>
      <c r="C32" s="132"/>
      <c r="D32" s="132"/>
      <c r="E32" s="132"/>
      <c r="F32" s="132"/>
      <c r="G32" s="132"/>
      <c r="H32" s="132"/>
      <c r="I32" s="132"/>
      <c r="J32" s="132"/>
      <c r="K32" s="132"/>
      <c r="L32" s="132"/>
      <c r="M32" s="132"/>
    </row>
    <row r="33" spans="1:13" ht="18.75" x14ac:dyDescent="0.2">
      <c r="A33" s="130"/>
      <c r="B33" s="131"/>
      <c r="C33" s="132"/>
      <c r="D33" s="132"/>
      <c r="E33" s="132"/>
      <c r="F33" s="132"/>
      <c r="G33" s="132"/>
      <c r="H33" s="132"/>
      <c r="I33" s="132"/>
      <c r="J33" s="132"/>
      <c r="K33" s="132"/>
      <c r="L33" s="132"/>
      <c r="M33" s="132"/>
    </row>
    <row r="34" spans="1:13" ht="18.75" x14ac:dyDescent="0.2">
      <c r="A34" s="130"/>
      <c r="B34" s="131"/>
      <c r="C34" s="132"/>
      <c r="D34" s="132"/>
      <c r="E34" s="132"/>
      <c r="F34" s="132"/>
      <c r="G34" s="132"/>
      <c r="H34" s="132"/>
      <c r="I34" s="132"/>
      <c r="J34" s="132"/>
      <c r="K34" s="132"/>
      <c r="L34" s="132"/>
      <c r="M34" s="132"/>
    </row>
  </sheetData>
  <sheetProtection formatColumns="0" formatRows="0"/>
  <mergeCells count="2">
    <mergeCell ref="A25:H25"/>
    <mergeCell ref="M12:M14"/>
  </mergeCells>
  <pageMargins left="0.70866141732283472" right="0.70866141732283472" top="0.74803149606299213" bottom="0.74803149606299213" header="0.31496062992125984" footer="0.31496062992125984"/>
  <pageSetup paperSize="9" fitToHeight="0" orientation="landscape" r:id="rId1"/>
  <headerFooter>
    <oddHeader>&amp;C&amp;"Times New Roman,Bold"&amp;14
Pēļņas/Zaudējumu aprēķins&amp;R&amp;"Times New Roman,Regular"&amp;14 2.pielikums</oddHeader>
    <oddFooter>&amp;C&amp;"Times New Roman,Regular"&amp;12&amp;F&amp;R&amp;"Times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3">
    <tabColor rgb="FF92D050"/>
    <pageSetUpPr fitToPage="1"/>
  </sheetPr>
  <dimension ref="A1:S72"/>
  <sheetViews>
    <sheetView topLeftCell="A33" zoomScale="70" zoomScaleNormal="70" workbookViewId="0">
      <selection activeCell="G26" sqref="G26"/>
    </sheetView>
  </sheetViews>
  <sheetFormatPr defaultRowHeight="18.75" x14ac:dyDescent="0.3"/>
  <cols>
    <col min="1" max="1" width="8.42578125" style="103" bestFit="1" customWidth="1"/>
    <col min="2" max="2" width="36.28515625" style="103" customWidth="1"/>
    <col min="3" max="3" width="17.7109375" style="9" customWidth="1"/>
    <col min="4" max="4" width="16.85546875" style="9" customWidth="1"/>
    <col min="5" max="7" width="17.7109375" style="9" customWidth="1"/>
    <col min="8" max="9" width="17.7109375" style="64" customWidth="1"/>
    <col min="10" max="10" width="43.28515625" style="9" customWidth="1"/>
    <col min="11" max="12" width="17.7109375" style="64" customWidth="1"/>
    <col min="13" max="13" width="52" style="9" customWidth="1"/>
    <col min="14" max="14" width="9.140625" style="9" customWidth="1"/>
    <col min="15" max="15" width="11.7109375" style="9" customWidth="1"/>
    <col min="16" max="16" width="59.7109375" style="9" customWidth="1"/>
    <col min="17" max="16384" width="9.140625" style="9"/>
  </cols>
  <sheetData>
    <row r="1" spans="1:16" s="103" customFormat="1" ht="132" customHeight="1" x14ac:dyDescent="0.3">
      <c r="A1" s="101" t="s">
        <v>0</v>
      </c>
      <c r="B1" s="102" t="s">
        <v>359</v>
      </c>
      <c r="C1" s="1" t="s">
        <v>687</v>
      </c>
      <c r="D1" s="1" t="s">
        <v>682</v>
      </c>
      <c r="E1" s="1" t="s">
        <v>776</v>
      </c>
      <c r="F1" s="1" t="s">
        <v>777</v>
      </c>
      <c r="G1" s="1" t="s">
        <v>779</v>
      </c>
      <c r="H1" s="7" t="s">
        <v>689</v>
      </c>
      <c r="I1" s="7" t="s">
        <v>684</v>
      </c>
      <c r="J1" s="1" t="s">
        <v>754</v>
      </c>
      <c r="K1" s="7" t="s">
        <v>690</v>
      </c>
      <c r="L1" s="7" t="s">
        <v>686</v>
      </c>
      <c r="M1" s="1" t="s">
        <v>754</v>
      </c>
    </row>
    <row r="2" spans="1:16" s="103" customFormat="1" x14ac:dyDescent="0.3">
      <c r="A2" s="8">
        <v>1</v>
      </c>
      <c r="B2" s="1">
        <v>2</v>
      </c>
      <c r="C2" s="1">
        <v>3</v>
      </c>
      <c r="D2" s="101">
        <v>4</v>
      </c>
      <c r="E2" s="1">
        <v>5</v>
      </c>
      <c r="F2" s="1">
        <v>6</v>
      </c>
      <c r="G2" s="1">
        <v>7</v>
      </c>
      <c r="H2" s="7">
        <v>8</v>
      </c>
      <c r="I2" s="71">
        <v>9</v>
      </c>
      <c r="J2" s="1">
        <v>10</v>
      </c>
      <c r="K2" s="72">
        <v>11</v>
      </c>
      <c r="L2" s="71">
        <v>12</v>
      </c>
      <c r="M2" s="1">
        <v>13</v>
      </c>
    </row>
    <row r="3" spans="1:16" s="103" customFormat="1" ht="108" customHeight="1" x14ac:dyDescent="0.3">
      <c r="A3" s="104">
        <v>45000</v>
      </c>
      <c r="B3" s="105" t="s">
        <v>360</v>
      </c>
      <c r="C3" s="360">
        <f>C4+C5+C6</f>
        <v>6648674</v>
      </c>
      <c r="D3" s="206">
        <f>D4+D5+D6</f>
        <v>6308215</v>
      </c>
      <c r="E3" s="360">
        <f>E4+E5+E6</f>
        <v>6648674</v>
      </c>
      <c r="F3" s="206">
        <f>F4+F5+F6</f>
        <v>6308215</v>
      </c>
      <c r="G3" s="704">
        <f>G4+G5+G6</f>
        <v>6781591</v>
      </c>
      <c r="H3" s="106">
        <f>G3-F3</f>
        <v>473376</v>
      </c>
      <c r="I3" s="107">
        <f>IFERROR(H3/ABS(F3), "-")</f>
        <v>7.5041196281356928E-2</v>
      </c>
      <c r="J3" s="700" t="s">
        <v>887</v>
      </c>
      <c r="K3" s="106">
        <f>G3-E3</f>
        <v>132917</v>
      </c>
      <c r="L3" s="107">
        <f>IFERROR(K3/ABS(E3), "-")</f>
        <v>1.9991505073041631E-2</v>
      </c>
      <c r="M3" s="701"/>
    </row>
    <row r="4" spans="1:16" x14ac:dyDescent="0.3">
      <c r="A4" s="108">
        <v>45100</v>
      </c>
      <c r="B4" s="109" t="s">
        <v>361</v>
      </c>
      <c r="C4" s="205">
        <v>4044523</v>
      </c>
      <c r="D4" s="207">
        <v>4044523</v>
      </c>
      <c r="E4" s="205">
        <v>4044523</v>
      </c>
      <c r="F4" s="207">
        <v>4044523</v>
      </c>
      <c r="G4" s="705">
        <v>4044523</v>
      </c>
      <c r="H4" s="110">
        <f t="shared" ref="H4:H27" si="0">G4-F4</f>
        <v>0</v>
      </c>
      <c r="I4" s="78">
        <f t="shared" ref="I4:I59" si="1">IFERROR(H4/ABS(F4), "-")</f>
        <v>0</v>
      </c>
      <c r="J4" s="423"/>
      <c r="K4" s="110">
        <f t="shared" ref="K4:K27" si="2">G4-E4</f>
        <v>0</v>
      </c>
      <c r="L4" s="78">
        <f>IFERROR(K4/ABS(E4), "-")</f>
        <v>0</v>
      </c>
      <c r="M4" s="423"/>
    </row>
    <row r="5" spans="1:16" x14ac:dyDescent="0.3">
      <c r="A5" s="108">
        <v>45200</v>
      </c>
      <c r="B5" s="109" t="s">
        <v>362</v>
      </c>
      <c r="C5" s="205">
        <v>2199699</v>
      </c>
      <c r="D5" s="207">
        <v>2141158</v>
      </c>
      <c r="E5" s="205">
        <v>2199699</v>
      </c>
      <c r="F5" s="207">
        <v>2141158</v>
      </c>
      <c r="G5" s="705">
        <v>2140858</v>
      </c>
      <c r="H5" s="110">
        <f t="shared" si="0"/>
        <v>-300</v>
      </c>
      <c r="I5" s="78">
        <f t="shared" si="1"/>
        <v>-1.4011109876057722E-4</v>
      </c>
      <c r="J5" s="423"/>
      <c r="K5" s="110">
        <f t="shared" si="2"/>
        <v>-58841</v>
      </c>
      <c r="L5" s="78">
        <f t="shared" ref="L5:L59" si="3">IFERROR(K5/ABS(E5), "-")</f>
        <v>-2.6749568918292912E-2</v>
      </c>
      <c r="M5" s="423"/>
    </row>
    <row r="6" spans="1:16" s="103" customFormat="1" x14ac:dyDescent="0.3">
      <c r="A6" s="111">
        <v>45300</v>
      </c>
      <c r="B6" s="105" t="s">
        <v>363</v>
      </c>
      <c r="C6" s="361">
        <f>C7+C8</f>
        <v>404452</v>
      </c>
      <c r="D6" s="208">
        <f>D7+D8</f>
        <v>122534</v>
      </c>
      <c r="E6" s="361">
        <f>E7+E8</f>
        <v>404452</v>
      </c>
      <c r="F6" s="208">
        <f>F7+F8</f>
        <v>122534</v>
      </c>
      <c r="G6" s="706">
        <f>G7+G8</f>
        <v>596210</v>
      </c>
      <c r="H6" s="112">
        <f t="shared" si="0"/>
        <v>473676</v>
      </c>
      <c r="I6" s="113">
        <f t="shared" si="1"/>
        <v>3.8656699365074183</v>
      </c>
      <c r="J6" s="423"/>
      <c r="K6" s="222">
        <f t="shared" si="2"/>
        <v>191758</v>
      </c>
      <c r="L6" s="223">
        <f t="shared" si="3"/>
        <v>0.47411806592624095</v>
      </c>
      <c r="M6" s="423"/>
    </row>
    <row r="7" spans="1:16" ht="98.25" customHeight="1" x14ac:dyDescent="0.3">
      <c r="A7" s="108">
        <v>45310</v>
      </c>
      <c r="B7" s="109" t="s">
        <v>364</v>
      </c>
      <c r="C7" s="205">
        <v>626367</v>
      </c>
      <c r="D7" s="207">
        <v>20445</v>
      </c>
      <c r="E7" s="205">
        <v>626367</v>
      </c>
      <c r="F7" s="207">
        <v>20445</v>
      </c>
      <c r="G7" s="705">
        <v>404452</v>
      </c>
      <c r="H7" s="110">
        <f t="shared" si="0"/>
        <v>384007</v>
      </c>
      <c r="I7" s="78">
        <f t="shared" si="1"/>
        <v>18.782440694546345</v>
      </c>
      <c r="J7" s="700" t="s">
        <v>888</v>
      </c>
      <c r="K7" s="110">
        <f t="shared" si="2"/>
        <v>-221915</v>
      </c>
      <c r="L7" s="78">
        <f t="shared" si="3"/>
        <v>-0.35428909888292326</v>
      </c>
      <c r="M7" s="700" t="s">
        <v>740</v>
      </c>
    </row>
    <row r="8" spans="1:16" ht="132" customHeight="1" x14ac:dyDescent="0.3">
      <c r="A8" s="108">
        <v>45320</v>
      </c>
      <c r="B8" s="109" t="s">
        <v>365</v>
      </c>
      <c r="C8" s="205">
        <v>-221915</v>
      </c>
      <c r="D8" s="207">
        <v>102089</v>
      </c>
      <c r="E8" s="205">
        <v>-221915</v>
      </c>
      <c r="F8" s="207">
        <v>102089</v>
      </c>
      <c r="G8" s="705">
        <v>191758</v>
      </c>
      <c r="H8" s="110">
        <f t="shared" si="0"/>
        <v>89669</v>
      </c>
      <c r="I8" s="78">
        <f t="shared" si="1"/>
        <v>0.87834144716864693</v>
      </c>
      <c r="J8" s="700" t="s">
        <v>891</v>
      </c>
      <c r="K8" s="110">
        <f t="shared" si="2"/>
        <v>413673</v>
      </c>
      <c r="L8" s="78">
        <f t="shared" si="3"/>
        <v>1.8641056260279838</v>
      </c>
      <c r="M8" s="700" t="s">
        <v>892</v>
      </c>
    </row>
    <row r="9" spans="1:16" ht="66.75" customHeight="1" x14ac:dyDescent="0.3">
      <c r="A9" s="104">
        <v>46000</v>
      </c>
      <c r="B9" s="114" t="s">
        <v>366</v>
      </c>
      <c r="C9" s="360">
        <v>186196</v>
      </c>
      <c r="D9" s="209">
        <v>196200</v>
      </c>
      <c r="E9" s="360">
        <v>186196</v>
      </c>
      <c r="F9" s="209">
        <v>196200</v>
      </c>
      <c r="G9" s="707">
        <v>214168</v>
      </c>
      <c r="H9" s="62">
        <f t="shared" si="0"/>
        <v>17968</v>
      </c>
      <c r="I9" s="115">
        <f t="shared" si="1"/>
        <v>9.1580020387359837E-2</v>
      </c>
      <c r="J9" s="424"/>
      <c r="K9" s="62">
        <f t="shared" si="2"/>
        <v>27972</v>
      </c>
      <c r="L9" s="115">
        <f t="shared" si="3"/>
        <v>0.15022879116629789</v>
      </c>
      <c r="M9" s="424"/>
    </row>
    <row r="10" spans="1:16" s="103" customFormat="1" ht="19.5" x14ac:dyDescent="0.3">
      <c r="A10" s="104">
        <v>47000</v>
      </c>
      <c r="B10" s="114" t="s">
        <v>367</v>
      </c>
      <c r="C10" s="360">
        <f>C11+C18</f>
        <v>8117211</v>
      </c>
      <c r="D10" s="206">
        <f t="shared" ref="D10:F10" si="4">D11+D18</f>
        <v>7909958</v>
      </c>
      <c r="E10" s="360">
        <f>E11+E18</f>
        <v>8117211</v>
      </c>
      <c r="F10" s="206">
        <f t="shared" si="4"/>
        <v>7909958</v>
      </c>
      <c r="G10" s="704">
        <f>G11+G18</f>
        <v>8720264</v>
      </c>
      <c r="H10" s="106">
        <f t="shared" si="0"/>
        <v>810306</v>
      </c>
      <c r="I10" s="107">
        <f t="shared" si="1"/>
        <v>0.10244125190045257</v>
      </c>
      <c r="J10" s="425"/>
      <c r="K10" s="106">
        <f t="shared" si="2"/>
        <v>603053</v>
      </c>
      <c r="L10" s="107">
        <f t="shared" si="3"/>
        <v>7.4293128514215045E-2</v>
      </c>
      <c r="M10" s="425"/>
    </row>
    <row r="11" spans="1:16" s="103" customFormat="1" ht="19.5" x14ac:dyDescent="0.3">
      <c r="A11" s="104">
        <v>47100</v>
      </c>
      <c r="B11" s="114" t="s">
        <v>368</v>
      </c>
      <c r="C11" s="360">
        <f>C15+C16</f>
        <v>5930401</v>
      </c>
      <c r="D11" s="206">
        <f>D15+D16</f>
        <v>5677211</v>
      </c>
      <c r="E11" s="360">
        <f>E15+E16</f>
        <v>5930401</v>
      </c>
      <c r="F11" s="206">
        <f>F15+F16</f>
        <v>5677211</v>
      </c>
      <c r="G11" s="704">
        <f>G15+G16</f>
        <v>5857968</v>
      </c>
      <c r="H11" s="106">
        <f t="shared" si="0"/>
        <v>180757</v>
      </c>
      <c r="I11" s="107">
        <f t="shared" si="1"/>
        <v>3.1839049138740833E-2</v>
      </c>
      <c r="J11" s="785" t="s">
        <v>893</v>
      </c>
      <c r="K11" s="106">
        <f t="shared" si="2"/>
        <v>-72433</v>
      </c>
      <c r="L11" s="107">
        <f t="shared" si="3"/>
        <v>-1.2213845235760617E-2</v>
      </c>
      <c r="M11" s="785" t="s">
        <v>894</v>
      </c>
    </row>
    <row r="12" spans="1:16" x14ac:dyDescent="0.3">
      <c r="A12" s="108">
        <v>47110</v>
      </c>
      <c r="B12" s="109" t="s">
        <v>369</v>
      </c>
      <c r="C12" s="362"/>
      <c r="D12" s="210"/>
      <c r="E12" s="362"/>
      <c r="F12" s="210"/>
      <c r="G12" s="708"/>
      <c r="H12" s="63">
        <f t="shared" si="0"/>
        <v>0</v>
      </c>
      <c r="I12" s="59" t="str">
        <f t="shared" si="1"/>
        <v>-</v>
      </c>
      <c r="J12" s="786"/>
      <c r="K12" s="63">
        <f t="shared" si="2"/>
        <v>0</v>
      </c>
      <c r="L12" s="59" t="str">
        <f t="shared" si="3"/>
        <v>-</v>
      </c>
      <c r="M12" s="786"/>
    </row>
    <row r="13" spans="1:16" ht="37.5" x14ac:dyDescent="0.3">
      <c r="A13" s="108">
        <v>47120</v>
      </c>
      <c r="B13" s="109" t="s">
        <v>370</v>
      </c>
      <c r="C13" s="362"/>
      <c r="D13" s="210"/>
      <c r="E13" s="362"/>
      <c r="F13" s="210"/>
      <c r="G13" s="708"/>
      <c r="H13" s="63">
        <f t="shared" si="0"/>
        <v>0</v>
      </c>
      <c r="I13" s="59" t="str">
        <f t="shared" si="1"/>
        <v>-</v>
      </c>
      <c r="J13" s="786"/>
      <c r="K13" s="63">
        <f t="shared" si="2"/>
        <v>0</v>
      </c>
      <c r="L13" s="59" t="str">
        <f t="shared" si="3"/>
        <v>-</v>
      </c>
      <c r="M13" s="786"/>
    </row>
    <row r="14" spans="1:16" x14ac:dyDescent="0.3">
      <c r="A14" s="108">
        <v>47130</v>
      </c>
      <c r="B14" s="109" t="s">
        <v>371</v>
      </c>
      <c r="C14" s="362"/>
      <c r="D14" s="210"/>
      <c r="E14" s="362"/>
      <c r="F14" s="210"/>
      <c r="G14" s="708"/>
      <c r="H14" s="63">
        <f t="shared" si="0"/>
        <v>0</v>
      </c>
      <c r="I14" s="59" t="str">
        <f t="shared" si="1"/>
        <v>-</v>
      </c>
      <c r="J14" s="786"/>
      <c r="K14" s="63">
        <f t="shared" si="2"/>
        <v>0</v>
      </c>
      <c r="L14" s="59" t="str">
        <f t="shared" si="3"/>
        <v>-</v>
      </c>
      <c r="M14" s="786"/>
    </row>
    <row r="15" spans="1:16" ht="37.5" x14ac:dyDescent="0.3">
      <c r="A15" s="108">
        <v>47131</v>
      </c>
      <c r="B15" s="109" t="s">
        <v>376</v>
      </c>
      <c r="C15" s="363">
        <v>73913</v>
      </c>
      <c r="D15" s="210">
        <v>80000</v>
      </c>
      <c r="E15" s="363">
        <v>73913</v>
      </c>
      <c r="F15" s="210">
        <v>80000</v>
      </c>
      <c r="G15" s="708">
        <v>97309</v>
      </c>
      <c r="H15" s="63">
        <f t="shared" si="0"/>
        <v>17309</v>
      </c>
      <c r="I15" s="59">
        <f t="shared" si="1"/>
        <v>0.21636250000000001</v>
      </c>
      <c r="J15" s="786"/>
      <c r="K15" s="63">
        <f t="shared" si="2"/>
        <v>23396</v>
      </c>
      <c r="L15" s="59">
        <f t="shared" si="3"/>
        <v>0.31653430384370812</v>
      </c>
      <c r="M15" s="786"/>
    </row>
    <row r="16" spans="1:16" x14ac:dyDescent="0.3">
      <c r="A16" s="108">
        <v>47140</v>
      </c>
      <c r="B16" s="109" t="s">
        <v>372</v>
      </c>
      <c r="C16" s="363">
        <v>5856488</v>
      </c>
      <c r="D16" s="210">
        <v>5597211</v>
      </c>
      <c r="E16" s="363">
        <v>5856488</v>
      </c>
      <c r="F16" s="210">
        <v>5597211</v>
      </c>
      <c r="G16" s="705">
        <v>5760659</v>
      </c>
      <c r="H16" s="63">
        <f t="shared" si="0"/>
        <v>163448</v>
      </c>
      <c r="I16" s="59">
        <f t="shared" si="1"/>
        <v>2.9201686339857476E-2</v>
      </c>
      <c r="J16" s="786"/>
      <c r="K16" s="63">
        <f t="shared" si="2"/>
        <v>-95829</v>
      </c>
      <c r="L16" s="59">
        <f t="shared" si="3"/>
        <v>-1.6362878230092848E-2</v>
      </c>
      <c r="M16" s="786"/>
      <c r="O16" s="171"/>
      <c r="P16" s="171"/>
    </row>
    <row r="17" spans="1:19" ht="36.75" customHeight="1" x14ac:dyDescent="0.3">
      <c r="A17" s="108">
        <v>47150</v>
      </c>
      <c r="B17" s="109" t="s">
        <v>373</v>
      </c>
      <c r="C17" s="362"/>
      <c r="D17" s="210"/>
      <c r="E17" s="362"/>
      <c r="F17" s="210"/>
      <c r="G17" s="708"/>
      <c r="H17" s="63">
        <f t="shared" si="0"/>
        <v>0</v>
      </c>
      <c r="I17" s="59" t="str">
        <f t="shared" si="1"/>
        <v>-</v>
      </c>
      <c r="J17" s="787"/>
      <c r="K17" s="63">
        <f t="shared" si="2"/>
        <v>0</v>
      </c>
      <c r="L17" s="59" t="str">
        <f t="shared" si="3"/>
        <v>-</v>
      </c>
      <c r="M17" s="787"/>
      <c r="O17" s="171"/>
    </row>
    <row r="18" spans="1:19" s="103" customFormat="1" ht="18.75" customHeight="1" x14ac:dyDescent="0.3">
      <c r="A18" s="104">
        <v>47200</v>
      </c>
      <c r="B18" s="114" t="s">
        <v>374</v>
      </c>
      <c r="C18" s="360">
        <f>C21+C22+C23+C24+C25+C26</f>
        <v>2186810</v>
      </c>
      <c r="D18" s="206">
        <f>D21+D22+D23+D24+D25+D26</f>
        <v>2232747</v>
      </c>
      <c r="E18" s="360">
        <f>E21+E22+E23+E24+E25+E26</f>
        <v>2186810</v>
      </c>
      <c r="F18" s="206">
        <f>F21+F22+F23+F24+F25+F26</f>
        <v>2232747</v>
      </c>
      <c r="G18" s="704">
        <f>G21+G22+G23+G24+G25+G26</f>
        <v>2862296</v>
      </c>
      <c r="H18" s="106">
        <f t="shared" si="0"/>
        <v>629549</v>
      </c>
      <c r="I18" s="107">
        <f t="shared" si="1"/>
        <v>0.28196163739107027</v>
      </c>
      <c r="J18" s="785" t="s">
        <v>899</v>
      </c>
      <c r="K18" s="106">
        <f t="shared" si="2"/>
        <v>675486</v>
      </c>
      <c r="L18" s="107">
        <f t="shared" si="3"/>
        <v>0.30889103305728438</v>
      </c>
      <c r="M18" s="785" t="s">
        <v>900</v>
      </c>
    </row>
    <row r="19" spans="1:19" x14ac:dyDescent="0.3">
      <c r="A19" s="108">
        <v>47210</v>
      </c>
      <c r="B19" s="109" t="s">
        <v>369</v>
      </c>
      <c r="C19" s="364"/>
      <c r="D19" s="207"/>
      <c r="E19" s="364"/>
      <c r="F19" s="207"/>
      <c r="G19" s="705"/>
      <c r="H19" s="110">
        <f t="shared" si="0"/>
        <v>0</v>
      </c>
      <c r="I19" s="78" t="str">
        <f t="shared" si="1"/>
        <v>-</v>
      </c>
      <c r="J19" s="786"/>
      <c r="K19" s="110">
        <f t="shared" si="2"/>
        <v>0</v>
      </c>
      <c r="L19" s="78" t="str">
        <f t="shared" si="3"/>
        <v>-</v>
      </c>
      <c r="M19" s="786"/>
    </row>
    <row r="20" spans="1:19" x14ac:dyDescent="0.3">
      <c r="A20" s="108">
        <v>47220</v>
      </c>
      <c r="B20" s="109" t="s">
        <v>371</v>
      </c>
      <c r="C20" s="364"/>
      <c r="D20" s="207"/>
      <c r="E20" s="364"/>
      <c r="F20" s="207"/>
      <c r="G20" s="705"/>
      <c r="H20" s="110">
        <f t="shared" si="0"/>
        <v>0</v>
      </c>
      <c r="I20" s="78" t="str">
        <f t="shared" si="1"/>
        <v>-</v>
      </c>
      <c r="J20" s="786"/>
      <c r="K20" s="110">
        <f t="shared" si="2"/>
        <v>0</v>
      </c>
      <c r="L20" s="78" t="str">
        <f t="shared" si="3"/>
        <v>-</v>
      </c>
      <c r="M20" s="786"/>
    </row>
    <row r="21" spans="1:19" x14ac:dyDescent="0.3">
      <c r="A21" s="108">
        <v>47230</v>
      </c>
      <c r="B21" s="109" t="s">
        <v>375</v>
      </c>
      <c r="C21" s="205">
        <v>6007</v>
      </c>
      <c r="D21" s="207">
        <v>7000</v>
      </c>
      <c r="E21" s="205">
        <v>6007</v>
      </c>
      <c r="F21" s="207">
        <v>7000</v>
      </c>
      <c r="G21" s="705">
        <v>7997</v>
      </c>
      <c r="H21" s="110">
        <f t="shared" si="0"/>
        <v>997</v>
      </c>
      <c r="I21" s="78">
        <f t="shared" si="1"/>
        <v>0.14242857142857143</v>
      </c>
      <c r="J21" s="786"/>
      <c r="K21" s="110">
        <f t="shared" si="2"/>
        <v>1990</v>
      </c>
      <c r="L21" s="78">
        <f t="shared" si="3"/>
        <v>0.33128017313134678</v>
      </c>
      <c r="M21" s="786"/>
      <c r="S21" s="116"/>
    </row>
    <row r="22" spans="1:19" ht="37.5" x14ac:dyDescent="0.3">
      <c r="A22" s="108">
        <v>47240</v>
      </c>
      <c r="B22" s="109" t="s">
        <v>376</v>
      </c>
      <c r="C22" s="205">
        <v>569696</v>
      </c>
      <c r="D22" s="207">
        <v>571370</v>
      </c>
      <c r="E22" s="205">
        <v>569696</v>
      </c>
      <c r="F22" s="207">
        <v>571370</v>
      </c>
      <c r="G22" s="705">
        <v>1097316</v>
      </c>
      <c r="H22" s="110">
        <f t="shared" si="0"/>
        <v>525946</v>
      </c>
      <c r="I22" s="78">
        <f t="shared" si="1"/>
        <v>0.92049985123475153</v>
      </c>
      <c r="J22" s="786"/>
      <c r="K22" s="110"/>
      <c r="L22" s="78">
        <f t="shared" si="3"/>
        <v>0</v>
      </c>
      <c r="M22" s="786"/>
    </row>
    <row r="23" spans="1:19" ht="37.5" x14ac:dyDescent="0.3">
      <c r="A23" s="108">
        <v>47250</v>
      </c>
      <c r="B23" s="109" t="s">
        <v>377</v>
      </c>
      <c r="C23" s="205">
        <v>541954</v>
      </c>
      <c r="D23" s="207">
        <v>550100</v>
      </c>
      <c r="E23" s="205">
        <v>541954</v>
      </c>
      <c r="F23" s="207">
        <v>550100</v>
      </c>
      <c r="G23" s="705">
        <v>647674</v>
      </c>
      <c r="H23" s="110">
        <f t="shared" si="0"/>
        <v>97574</v>
      </c>
      <c r="I23" s="78">
        <f t="shared" si="1"/>
        <v>0.17737502272314123</v>
      </c>
      <c r="J23" s="786"/>
      <c r="K23" s="110">
        <f t="shared" si="2"/>
        <v>105720</v>
      </c>
      <c r="L23" s="78">
        <f t="shared" si="3"/>
        <v>0.19507190647176698</v>
      </c>
      <c r="M23" s="786"/>
    </row>
    <row r="24" spans="1:19" x14ac:dyDescent="0.3">
      <c r="A24" s="108">
        <v>47260</v>
      </c>
      <c r="B24" s="109" t="s">
        <v>378</v>
      </c>
      <c r="C24" s="205">
        <v>86342</v>
      </c>
      <c r="D24" s="207">
        <v>95000</v>
      </c>
      <c r="E24" s="205">
        <v>86342</v>
      </c>
      <c r="F24" s="207">
        <v>95000</v>
      </c>
      <c r="G24" s="705">
        <v>89236</v>
      </c>
      <c r="H24" s="110">
        <f t="shared" si="0"/>
        <v>-5764</v>
      </c>
      <c r="I24" s="78">
        <f t="shared" si="1"/>
        <v>-6.0673684210526317E-2</v>
      </c>
      <c r="J24" s="786"/>
      <c r="K24" s="110">
        <f t="shared" si="2"/>
        <v>2894</v>
      </c>
      <c r="L24" s="78">
        <f t="shared" si="3"/>
        <v>3.3517870792893374E-2</v>
      </c>
      <c r="M24" s="786"/>
    </row>
    <row r="25" spans="1:19" x14ac:dyDescent="0.3">
      <c r="A25" s="108">
        <v>47280</v>
      </c>
      <c r="B25" s="109" t="s">
        <v>372</v>
      </c>
      <c r="C25" s="205">
        <v>259277</v>
      </c>
      <c r="D25" s="207">
        <v>259277</v>
      </c>
      <c r="E25" s="205">
        <v>259277</v>
      </c>
      <c r="F25" s="207">
        <v>259277</v>
      </c>
      <c r="G25" s="705">
        <v>261843</v>
      </c>
      <c r="H25" s="110">
        <f t="shared" si="0"/>
        <v>2566</v>
      </c>
      <c r="I25" s="78">
        <f t="shared" si="1"/>
        <v>9.8967513508718477E-3</v>
      </c>
      <c r="J25" s="786"/>
      <c r="K25" s="110">
        <f t="shared" si="2"/>
        <v>2566</v>
      </c>
      <c r="L25" s="78">
        <f t="shared" si="3"/>
        <v>9.8967513508718477E-3</v>
      </c>
      <c r="M25" s="786"/>
    </row>
    <row r="26" spans="1:19" ht="141.75" customHeight="1" x14ac:dyDescent="0.3">
      <c r="A26" s="108">
        <v>47290</v>
      </c>
      <c r="B26" s="109" t="s">
        <v>379</v>
      </c>
      <c r="C26" s="205">
        <v>723534</v>
      </c>
      <c r="D26" s="207">
        <v>750000</v>
      </c>
      <c r="E26" s="205">
        <v>723534</v>
      </c>
      <c r="F26" s="207">
        <v>750000</v>
      </c>
      <c r="G26" s="705">
        <v>758230</v>
      </c>
      <c r="H26" s="110">
        <f t="shared" si="0"/>
        <v>8230</v>
      </c>
      <c r="I26" s="78">
        <f t="shared" si="1"/>
        <v>1.0973333333333333E-2</v>
      </c>
      <c r="J26" s="787"/>
      <c r="K26" s="110">
        <f t="shared" si="2"/>
        <v>34696</v>
      </c>
      <c r="L26" s="78">
        <f t="shared" si="3"/>
        <v>4.7953517042737454E-2</v>
      </c>
      <c r="M26" s="787"/>
    </row>
    <row r="27" spans="1:19" s="103" customFormat="1" ht="37.5" x14ac:dyDescent="0.3">
      <c r="A27" s="104">
        <v>48000</v>
      </c>
      <c r="B27" s="114" t="s">
        <v>380</v>
      </c>
      <c r="C27" s="360">
        <f>C3+C9+C10</f>
        <v>14952081</v>
      </c>
      <c r="D27" s="206">
        <f t="shared" ref="D27:F27" si="5">D10+D9+D3</f>
        <v>14414373</v>
      </c>
      <c r="E27" s="360">
        <f>E3+E9+E10</f>
        <v>14952081</v>
      </c>
      <c r="F27" s="206">
        <f t="shared" si="5"/>
        <v>14414373</v>
      </c>
      <c r="G27" s="704">
        <f>G10+G9+G3</f>
        <v>15716023</v>
      </c>
      <c r="H27" s="106">
        <f t="shared" si="0"/>
        <v>1301650</v>
      </c>
      <c r="I27" s="107">
        <f t="shared" si="1"/>
        <v>9.0302228199589399E-2</v>
      </c>
      <c r="J27" s="425"/>
      <c r="K27" s="106">
        <f t="shared" si="2"/>
        <v>763942</v>
      </c>
      <c r="L27" s="107">
        <f t="shared" si="3"/>
        <v>5.1092687365725212E-2</v>
      </c>
      <c r="M27" s="425"/>
    </row>
    <row r="28" spans="1:19" x14ac:dyDescent="0.3">
      <c r="A28" s="788"/>
      <c r="B28" s="789"/>
      <c r="C28" s="789"/>
      <c r="D28" s="789"/>
      <c r="E28" s="789"/>
      <c r="F28" s="789"/>
      <c r="G28" s="789"/>
      <c r="H28" s="789"/>
      <c r="I28" s="789"/>
      <c r="J28" s="789"/>
      <c r="K28" s="789"/>
      <c r="L28" s="789"/>
      <c r="M28" s="789"/>
    </row>
    <row r="29" spans="1:19" s="103" customFormat="1" ht="19.5" x14ac:dyDescent="0.3">
      <c r="A29" s="104">
        <v>49000</v>
      </c>
      <c r="B29" s="114" t="s">
        <v>381</v>
      </c>
      <c r="C29" s="206">
        <f>C30+C33</f>
        <v>12622570</v>
      </c>
      <c r="D29" s="206">
        <f>D30+D33</f>
        <v>12714612</v>
      </c>
      <c r="E29" s="206">
        <f>E30+E33</f>
        <v>12622570</v>
      </c>
      <c r="F29" s="206">
        <f>F30+F33</f>
        <v>12714612</v>
      </c>
      <c r="G29" s="704">
        <f>G30+G33</f>
        <v>13125602</v>
      </c>
      <c r="H29" s="106">
        <f t="shared" ref="H29:H55" si="6">G29-F29</f>
        <v>410990</v>
      </c>
      <c r="I29" s="107">
        <f t="shared" si="1"/>
        <v>3.2324226645689229E-2</v>
      </c>
      <c r="J29" s="425"/>
      <c r="K29" s="106">
        <f t="shared" ref="K29:K55" si="7">G29-E29</f>
        <v>503032</v>
      </c>
      <c r="L29" s="107">
        <f t="shared" si="3"/>
        <v>3.9851789294890028E-2</v>
      </c>
      <c r="M29" s="425"/>
      <c r="P29" s="398"/>
    </row>
    <row r="30" spans="1:19" s="103" customFormat="1" ht="19.5" x14ac:dyDescent="0.3">
      <c r="A30" s="104">
        <v>49100</v>
      </c>
      <c r="B30" s="114" t="s">
        <v>382</v>
      </c>
      <c r="C30" s="206">
        <v>54612</v>
      </c>
      <c r="D30" s="206">
        <v>54612</v>
      </c>
      <c r="E30" s="206">
        <v>54612</v>
      </c>
      <c r="F30" s="206">
        <v>54612</v>
      </c>
      <c r="G30" s="704">
        <v>65674</v>
      </c>
      <c r="H30" s="106">
        <f t="shared" si="6"/>
        <v>11062</v>
      </c>
      <c r="I30" s="107">
        <f t="shared" si="1"/>
        <v>0.2025562147513367</v>
      </c>
      <c r="J30" s="785" t="s">
        <v>897</v>
      </c>
      <c r="K30" s="106">
        <f t="shared" si="7"/>
        <v>11062</v>
      </c>
      <c r="L30" s="107">
        <f t="shared" si="3"/>
        <v>0.2025562147513367</v>
      </c>
      <c r="M30" s="785" t="s">
        <v>898</v>
      </c>
    </row>
    <row r="31" spans="1:19" x14ac:dyDescent="0.3">
      <c r="A31" s="108">
        <v>49110</v>
      </c>
      <c r="B31" s="109" t="s">
        <v>383</v>
      </c>
      <c r="C31" s="210"/>
      <c r="D31" s="210"/>
      <c r="E31" s="210"/>
      <c r="F31" s="210"/>
      <c r="G31" s="708"/>
      <c r="H31" s="63">
        <f t="shared" si="6"/>
        <v>0</v>
      </c>
      <c r="I31" s="59" t="str">
        <f t="shared" si="1"/>
        <v>-</v>
      </c>
      <c r="J31" s="786"/>
      <c r="K31" s="63">
        <f t="shared" si="7"/>
        <v>0</v>
      </c>
      <c r="L31" s="59" t="str">
        <f t="shared" si="3"/>
        <v>-</v>
      </c>
      <c r="M31" s="786"/>
    </row>
    <row r="32" spans="1:19" ht="143.25" customHeight="1" x14ac:dyDescent="0.3">
      <c r="A32" s="108">
        <v>49120</v>
      </c>
      <c r="B32" s="109" t="s">
        <v>384</v>
      </c>
      <c r="C32" s="210"/>
      <c r="D32" s="210"/>
      <c r="E32" s="210"/>
      <c r="F32" s="210"/>
      <c r="G32" s="708"/>
      <c r="H32" s="63">
        <f t="shared" si="6"/>
        <v>0</v>
      </c>
      <c r="I32" s="59" t="str">
        <f t="shared" si="1"/>
        <v>-</v>
      </c>
      <c r="J32" s="787"/>
      <c r="K32" s="63">
        <f t="shared" si="7"/>
        <v>0</v>
      </c>
      <c r="L32" s="59" t="str">
        <f t="shared" si="3"/>
        <v>-</v>
      </c>
      <c r="M32" s="787"/>
    </row>
    <row r="33" spans="1:13" s="103" customFormat="1" ht="78.75" customHeight="1" x14ac:dyDescent="0.3">
      <c r="A33" s="104">
        <v>49200</v>
      </c>
      <c r="B33" s="114" t="s">
        <v>385</v>
      </c>
      <c r="C33" s="206">
        <f>C34+C35+C36+C37</f>
        <v>12567958</v>
      </c>
      <c r="D33" s="206">
        <f>D34+D35+D36+D37</f>
        <v>12660000</v>
      </c>
      <c r="E33" s="206">
        <f>E34+E35+E36+E37</f>
        <v>12567958</v>
      </c>
      <c r="F33" s="206">
        <f>F34+F35+F36+F37</f>
        <v>12660000</v>
      </c>
      <c r="G33" s="704">
        <f>G34+G35+G36+G37</f>
        <v>13059928</v>
      </c>
      <c r="H33" s="106">
        <f t="shared" si="6"/>
        <v>399928</v>
      </c>
      <c r="I33" s="107">
        <f t="shared" si="1"/>
        <v>3.1589889415481832E-2</v>
      </c>
      <c r="J33" s="785" t="s">
        <v>901</v>
      </c>
      <c r="K33" s="106">
        <f t="shared" si="7"/>
        <v>491970</v>
      </c>
      <c r="L33" s="107">
        <f t="shared" si="3"/>
        <v>3.9144783902046773E-2</v>
      </c>
      <c r="M33" s="785" t="s">
        <v>902</v>
      </c>
    </row>
    <row r="34" spans="1:13" ht="37.5" x14ac:dyDescent="0.3">
      <c r="A34" s="108">
        <v>49210</v>
      </c>
      <c r="B34" s="109" t="s">
        <v>386</v>
      </c>
      <c r="C34" s="210">
        <v>9079597</v>
      </c>
      <c r="D34" s="210">
        <v>9350000</v>
      </c>
      <c r="E34" s="210">
        <v>9079597</v>
      </c>
      <c r="F34" s="210">
        <v>9350000</v>
      </c>
      <c r="G34" s="708">
        <v>9543608</v>
      </c>
      <c r="H34" s="63">
        <f t="shared" si="6"/>
        <v>193608</v>
      </c>
      <c r="I34" s="59">
        <f t="shared" si="1"/>
        <v>2.0706737967914439E-2</v>
      </c>
      <c r="J34" s="786"/>
      <c r="K34" s="63">
        <f t="shared" si="7"/>
        <v>464011</v>
      </c>
      <c r="L34" s="59">
        <f t="shared" si="3"/>
        <v>5.1104801237323638E-2</v>
      </c>
      <c r="M34" s="786"/>
    </row>
    <row r="35" spans="1:13" x14ac:dyDescent="0.3">
      <c r="A35" s="108">
        <v>49220</v>
      </c>
      <c r="B35" s="109" t="s">
        <v>387</v>
      </c>
      <c r="C35" s="210">
        <v>2062147</v>
      </c>
      <c r="D35" s="210">
        <v>2100000</v>
      </c>
      <c r="E35" s="210">
        <v>2062147</v>
      </c>
      <c r="F35" s="210">
        <v>2100000</v>
      </c>
      <c r="G35" s="708">
        <v>2189496</v>
      </c>
      <c r="H35" s="63">
        <f t="shared" si="6"/>
        <v>89496</v>
      </c>
      <c r="I35" s="59">
        <f t="shared" si="1"/>
        <v>4.261714285714286E-2</v>
      </c>
      <c r="J35" s="786"/>
      <c r="K35" s="63">
        <f t="shared" si="7"/>
        <v>127349</v>
      </c>
      <c r="L35" s="59">
        <f t="shared" si="3"/>
        <v>6.1755539251081522E-2</v>
      </c>
      <c r="M35" s="786"/>
    </row>
    <row r="36" spans="1:13" ht="37.5" x14ac:dyDescent="0.3">
      <c r="A36" s="108">
        <v>49230</v>
      </c>
      <c r="B36" s="109" t="s">
        <v>388</v>
      </c>
      <c r="C36" s="210">
        <v>1209930</v>
      </c>
      <c r="D36" s="210">
        <v>1210000</v>
      </c>
      <c r="E36" s="210">
        <v>1209930</v>
      </c>
      <c r="F36" s="210">
        <v>1210000</v>
      </c>
      <c r="G36" s="708">
        <v>1325220</v>
      </c>
      <c r="H36" s="63">
        <f t="shared" si="6"/>
        <v>115220</v>
      </c>
      <c r="I36" s="59">
        <f t="shared" si="1"/>
        <v>9.5223140495867775E-2</v>
      </c>
      <c r="J36" s="786"/>
      <c r="K36" s="63">
        <f t="shared" si="7"/>
        <v>115290</v>
      </c>
      <c r="L36" s="59">
        <f t="shared" si="3"/>
        <v>9.5286504177927653E-2</v>
      </c>
      <c r="M36" s="786"/>
    </row>
    <row r="37" spans="1:13" ht="37.5" x14ac:dyDescent="0.3">
      <c r="A37" s="108">
        <v>49240</v>
      </c>
      <c r="B37" s="109" t="s">
        <v>389</v>
      </c>
      <c r="C37" s="210">
        <v>216284</v>
      </c>
      <c r="D37" s="210">
        <v>0</v>
      </c>
      <c r="E37" s="210">
        <v>216284</v>
      </c>
      <c r="F37" s="210">
        <v>0</v>
      </c>
      <c r="G37" s="708">
        <v>1604</v>
      </c>
      <c r="H37" s="63">
        <f t="shared" si="6"/>
        <v>1604</v>
      </c>
      <c r="I37" s="59" t="str">
        <f t="shared" si="1"/>
        <v>-</v>
      </c>
      <c r="J37" s="786"/>
      <c r="K37" s="63">
        <f t="shared" si="7"/>
        <v>-214680</v>
      </c>
      <c r="L37" s="59">
        <f t="shared" si="3"/>
        <v>-0.99258382497087161</v>
      </c>
      <c r="M37" s="786"/>
    </row>
    <row r="38" spans="1:13" ht="37.5" x14ac:dyDescent="0.3">
      <c r="A38" s="108">
        <v>49250</v>
      </c>
      <c r="B38" s="109" t="s">
        <v>390</v>
      </c>
      <c r="C38" s="210"/>
      <c r="D38" s="210"/>
      <c r="E38" s="210"/>
      <c r="F38" s="210"/>
      <c r="G38" s="708"/>
      <c r="H38" s="63">
        <f t="shared" si="6"/>
        <v>0</v>
      </c>
      <c r="I38" s="59" t="str">
        <f t="shared" si="1"/>
        <v>-</v>
      </c>
      <c r="J38" s="786"/>
      <c r="K38" s="63">
        <f t="shared" si="7"/>
        <v>0</v>
      </c>
      <c r="L38" s="59" t="str">
        <f t="shared" si="3"/>
        <v>-</v>
      </c>
      <c r="M38" s="786"/>
    </row>
    <row r="39" spans="1:13" ht="55.5" customHeight="1" x14ac:dyDescent="0.3">
      <c r="A39" s="108">
        <v>49260</v>
      </c>
      <c r="B39" s="109" t="s">
        <v>391</v>
      </c>
      <c r="C39" s="210"/>
      <c r="D39" s="210"/>
      <c r="E39" s="210"/>
      <c r="F39" s="210"/>
      <c r="G39" s="708"/>
      <c r="H39" s="63">
        <f t="shared" si="6"/>
        <v>0</v>
      </c>
      <c r="I39" s="59" t="str">
        <f t="shared" si="1"/>
        <v>-</v>
      </c>
      <c r="J39" s="787"/>
      <c r="K39" s="63">
        <f t="shared" si="7"/>
        <v>0</v>
      </c>
      <c r="L39" s="59" t="str">
        <f t="shared" si="3"/>
        <v>-</v>
      </c>
      <c r="M39" s="787"/>
    </row>
    <row r="40" spans="1:13" s="103" customFormat="1" ht="37.5" x14ac:dyDescent="0.3">
      <c r="A40" s="104">
        <v>49300</v>
      </c>
      <c r="B40" s="114" t="s">
        <v>392</v>
      </c>
      <c r="C40" s="206">
        <v>0</v>
      </c>
      <c r="D40" s="206">
        <v>0</v>
      </c>
      <c r="E40" s="206">
        <v>0</v>
      </c>
      <c r="F40" s="206">
        <v>0</v>
      </c>
      <c r="G40" s="704"/>
      <c r="H40" s="106">
        <f t="shared" si="6"/>
        <v>0</v>
      </c>
      <c r="I40" s="107" t="str">
        <f t="shared" si="1"/>
        <v>-</v>
      </c>
      <c r="J40" s="790"/>
      <c r="K40" s="106">
        <f t="shared" si="7"/>
        <v>0</v>
      </c>
      <c r="L40" s="107" t="str">
        <f t="shared" si="3"/>
        <v>-</v>
      </c>
      <c r="M40" s="790"/>
    </row>
    <row r="41" spans="1:13" ht="37.5" x14ac:dyDescent="0.3">
      <c r="A41" s="117">
        <v>49310</v>
      </c>
      <c r="B41" s="109" t="s">
        <v>393</v>
      </c>
      <c r="C41" s="210"/>
      <c r="D41" s="210"/>
      <c r="E41" s="210"/>
      <c r="F41" s="210"/>
      <c r="G41" s="708"/>
      <c r="H41" s="63">
        <f t="shared" si="6"/>
        <v>0</v>
      </c>
      <c r="I41" s="59" t="str">
        <f t="shared" si="1"/>
        <v>-</v>
      </c>
      <c r="J41" s="791"/>
      <c r="K41" s="63">
        <f t="shared" si="7"/>
        <v>0</v>
      </c>
      <c r="L41" s="59" t="str">
        <f t="shared" si="3"/>
        <v>-</v>
      </c>
      <c r="M41" s="791"/>
    </row>
    <row r="42" spans="1:13" ht="37.5" x14ac:dyDescent="0.3">
      <c r="A42" s="117">
        <v>49320</v>
      </c>
      <c r="B42" s="109" t="s">
        <v>394</v>
      </c>
      <c r="C42" s="210"/>
      <c r="D42" s="210"/>
      <c r="E42" s="210"/>
      <c r="F42" s="210"/>
      <c r="G42" s="708"/>
      <c r="H42" s="63">
        <f t="shared" si="6"/>
        <v>0</v>
      </c>
      <c r="I42" s="59" t="str">
        <f t="shared" si="1"/>
        <v>-</v>
      </c>
      <c r="J42" s="792"/>
      <c r="K42" s="63">
        <f t="shared" si="7"/>
        <v>0</v>
      </c>
      <c r="L42" s="59" t="str">
        <f t="shared" si="3"/>
        <v>-</v>
      </c>
      <c r="M42" s="792"/>
    </row>
    <row r="43" spans="1:13" s="103" customFormat="1" ht="48" customHeight="1" x14ac:dyDescent="0.3">
      <c r="A43" s="104">
        <v>50000</v>
      </c>
      <c r="B43" s="114" t="s">
        <v>395</v>
      </c>
      <c r="C43" s="206">
        <f>C44+C48+C54</f>
        <v>2329511</v>
      </c>
      <c r="D43" s="206">
        <f t="shared" ref="D43:F43" si="8">D44+D48+D54</f>
        <v>1699761</v>
      </c>
      <c r="E43" s="206">
        <f>E44+E48+E54</f>
        <v>2329511</v>
      </c>
      <c r="F43" s="206">
        <f t="shared" si="8"/>
        <v>1699761</v>
      </c>
      <c r="G43" s="704">
        <f>G44+G48+G54</f>
        <v>2590421</v>
      </c>
      <c r="H43" s="106">
        <f t="shared" si="6"/>
        <v>890660</v>
      </c>
      <c r="I43" s="107">
        <f t="shared" si="1"/>
        <v>0.5239913140729785</v>
      </c>
      <c r="J43" s="425"/>
      <c r="K43" s="106">
        <f t="shared" si="7"/>
        <v>260910</v>
      </c>
      <c r="L43" s="107">
        <f t="shared" si="3"/>
        <v>0.11200204678149191</v>
      </c>
      <c r="M43" s="425"/>
    </row>
    <row r="44" spans="1:13" s="103" customFormat="1" ht="19.5" x14ac:dyDescent="0.3">
      <c r="A44" s="104">
        <v>50100</v>
      </c>
      <c r="B44" s="114" t="s">
        <v>396</v>
      </c>
      <c r="C44" s="206">
        <f>C45+C47</f>
        <v>244562</v>
      </c>
      <c r="D44" s="206">
        <f>D45+D47</f>
        <v>246500</v>
      </c>
      <c r="E44" s="206">
        <f>E45+E47</f>
        <v>244562</v>
      </c>
      <c r="F44" s="206">
        <f>F45+F47</f>
        <v>246500</v>
      </c>
      <c r="G44" s="704">
        <f>G45+G47</f>
        <v>463554</v>
      </c>
      <c r="H44" s="106">
        <f t="shared" si="6"/>
        <v>217054</v>
      </c>
      <c r="I44" s="107">
        <f t="shared" si="1"/>
        <v>0.88054361054766739</v>
      </c>
      <c r="J44" s="785" t="s">
        <v>895</v>
      </c>
      <c r="K44" s="106">
        <f t="shared" si="7"/>
        <v>218992</v>
      </c>
      <c r="L44" s="107">
        <f t="shared" si="3"/>
        <v>0.89544573564167773</v>
      </c>
      <c r="M44" s="785" t="s">
        <v>896</v>
      </c>
    </row>
    <row r="45" spans="1:13" ht="37.5" x14ac:dyDescent="0.3">
      <c r="A45" s="108">
        <v>50110</v>
      </c>
      <c r="B45" s="109" t="s">
        <v>397</v>
      </c>
      <c r="C45" s="210">
        <v>243014</v>
      </c>
      <c r="D45" s="210">
        <v>245000</v>
      </c>
      <c r="E45" s="210">
        <v>243014</v>
      </c>
      <c r="F45" s="210">
        <v>245000</v>
      </c>
      <c r="G45" s="708">
        <v>459245</v>
      </c>
      <c r="H45" s="63">
        <f t="shared" si="6"/>
        <v>214245</v>
      </c>
      <c r="I45" s="59">
        <f t="shared" si="1"/>
        <v>0.87446938775510208</v>
      </c>
      <c r="J45" s="786"/>
      <c r="K45" s="63">
        <f t="shared" si="7"/>
        <v>216231</v>
      </c>
      <c r="L45" s="59">
        <f t="shared" si="3"/>
        <v>0.88978824265268663</v>
      </c>
      <c r="M45" s="786"/>
    </row>
    <row r="46" spans="1:13" ht="37.5" x14ac:dyDescent="0.3">
      <c r="A46" s="108">
        <v>50120</v>
      </c>
      <c r="B46" s="109" t="s">
        <v>398</v>
      </c>
      <c r="C46" s="210"/>
      <c r="D46" s="210"/>
      <c r="E46" s="210"/>
      <c r="F46" s="210"/>
      <c r="G46" s="708">
        <v>0</v>
      </c>
      <c r="H46" s="63">
        <f t="shared" si="6"/>
        <v>0</v>
      </c>
      <c r="I46" s="59" t="str">
        <f t="shared" si="1"/>
        <v>-</v>
      </c>
      <c r="J46" s="786"/>
      <c r="K46" s="63">
        <f t="shared" si="7"/>
        <v>0</v>
      </c>
      <c r="L46" s="59" t="str">
        <f t="shared" si="3"/>
        <v>-</v>
      </c>
      <c r="M46" s="786"/>
    </row>
    <row r="47" spans="1:13" ht="108.75" customHeight="1" x14ac:dyDescent="0.3">
      <c r="A47" s="108">
        <v>50130</v>
      </c>
      <c r="B47" s="109" t="s">
        <v>399</v>
      </c>
      <c r="C47" s="210">
        <v>1548</v>
      </c>
      <c r="D47" s="210">
        <v>1500</v>
      </c>
      <c r="E47" s="210">
        <v>1548</v>
      </c>
      <c r="F47" s="210">
        <v>1500</v>
      </c>
      <c r="G47" s="708">
        <v>4309</v>
      </c>
      <c r="H47" s="63">
        <f t="shared" si="6"/>
        <v>2809</v>
      </c>
      <c r="I47" s="59">
        <f t="shared" si="1"/>
        <v>1.8726666666666667</v>
      </c>
      <c r="J47" s="787"/>
      <c r="K47" s="63">
        <f t="shared" si="7"/>
        <v>2761</v>
      </c>
      <c r="L47" s="59">
        <f t="shared" si="3"/>
        <v>1.7835917312661498</v>
      </c>
      <c r="M47" s="787"/>
    </row>
    <row r="48" spans="1:13" s="103" customFormat="1" ht="19.5" x14ac:dyDescent="0.3">
      <c r="A48" s="104">
        <v>50200</v>
      </c>
      <c r="B48" s="114" t="s">
        <v>400</v>
      </c>
      <c r="C48" s="206">
        <f>C49+C50+C51+C52+C53</f>
        <v>1377671</v>
      </c>
      <c r="D48" s="206">
        <f>D49+D51+D52</f>
        <v>1072299</v>
      </c>
      <c r="E48" s="206">
        <f>E49+E50+E51+E52+E53</f>
        <v>1377671</v>
      </c>
      <c r="F48" s="206">
        <f>F49+F51+F52</f>
        <v>1072299</v>
      </c>
      <c r="G48" s="704">
        <f>G49+G51+G52</f>
        <v>1799082</v>
      </c>
      <c r="H48" s="106">
        <f t="shared" si="6"/>
        <v>726783</v>
      </c>
      <c r="I48" s="107">
        <f t="shared" si="1"/>
        <v>0.67778017138876379</v>
      </c>
      <c r="J48" s="785" t="s">
        <v>903</v>
      </c>
      <c r="K48" s="106">
        <f t="shared" si="7"/>
        <v>421411</v>
      </c>
      <c r="L48" s="107">
        <f t="shared" si="3"/>
        <v>0.30588652878662614</v>
      </c>
      <c r="M48" s="785" t="s">
        <v>904</v>
      </c>
    </row>
    <row r="49" spans="1:16" x14ac:dyDescent="0.3">
      <c r="A49" s="108">
        <v>50210</v>
      </c>
      <c r="B49" s="109" t="s">
        <v>401</v>
      </c>
      <c r="C49" s="210">
        <v>1034387</v>
      </c>
      <c r="D49" s="210">
        <v>1050000</v>
      </c>
      <c r="E49" s="210">
        <v>1034387</v>
      </c>
      <c r="F49" s="210">
        <v>1050000</v>
      </c>
      <c r="G49" s="705">
        <v>1782497</v>
      </c>
      <c r="H49" s="63">
        <f t="shared" si="6"/>
        <v>732497</v>
      </c>
      <c r="I49" s="59">
        <f t="shared" si="1"/>
        <v>0.6976161904761905</v>
      </c>
      <c r="J49" s="786"/>
      <c r="K49" s="63">
        <f t="shared" si="7"/>
        <v>748110</v>
      </c>
      <c r="L49" s="59">
        <f t="shared" si="3"/>
        <v>0.72323994791117829</v>
      </c>
      <c r="M49" s="786"/>
    </row>
    <row r="50" spans="1:16" x14ac:dyDescent="0.3">
      <c r="A50" s="108">
        <v>50220</v>
      </c>
      <c r="B50" s="109" t="s">
        <v>402</v>
      </c>
      <c r="C50" s="210"/>
      <c r="D50" s="210"/>
      <c r="E50" s="210"/>
      <c r="F50" s="210"/>
      <c r="G50" s="708">
        <v>0</v>
      </c>
      <c r="H50" s="63">
        <f t="shared" si="6"/>
        <v>0</v>
      </c>
      <c r="I50" s="59" t="str">
        <f t="shared" si="1"/>
        <v>-</v>
      </c>
      <c r="J50" s="786"/>
      <c r="K50" s="63">
        <f t="shared" si="7"/>
        <v>0</v>
      </c>
      <c r="L50" s="59" t="str">
        <f t="shared" si="3"/>
        <v>-</v>
      </c>
      <c r="M50" s="786"/>
    </row>
    <row r="51" spans="1:16" x14ac:dyDescent="0.3">
      <c r="A51" s="108">
        <v>50230</v>
      </c>
      <c r="B51" s="109" t="s">
        <v>403</v>
      </c>
      <c r="C51" s="210">
        <v>872</v>
      </c>
      <c r="D51" s="210">
        <v>1000</v>
      </c>
      <c r="E51" s="210">
        <v>872</v>
      </c>
      <c r="F51" s="210">
        <v>1000</v>
      </c>
      <c r="G51" s="708">
        <v>872</v>
      </c>
      <c r="H51" s="63">
        <f t="shared" si="6"/>
        <v>-128</v>
      </c>
      <c r="I51" s="59">
        <f t="shared" si="1"/>
        <v>-0.128</v>
      </c>
      <c r="J51" s="786"/>
      <c r="K51" s="63">
        <f t="shared" si="7"/>
        <v>0</v>
      </c>
      <c r="L51" s="59">
        <f t="shared" si="3"/>
        <v>0</v>
      </c>
      <c r="M51" s="786"/>
    </row>
    <row r="52" spans="1:16" x14ac:dyDescent="0.3">
      <c r="A52" s="108">
        <v>50240</v>
      </c>
      <c r="B52" s="109" t="s">
        <v>404</v>
      </c>
      <c r="C52" s="210">
        <v>16091</v>
      </c>
      <c r="D52" s="210">
        <v>21299</v>
      </c>
      <c r="E52" s="210">
        <v>16091</v>
      </c>
      <c r="F52" s="210">
        <v>21299</v>
      </c>
      <c r="G52" s="708">
        <v>15713</v>
      </c>
      <c r="H52" s="63">
        <f t="shared" si="6"/>
        <v>-5586</v>
      </c>
      <c r="I52" s="59">
        <f t="shared" si="1"/>
        <v>-0.26226583407671722</v>
      </c>
      <c r="J52" s="786"/>
      <c r="K52" s="63">
        <f t="shared" si="7"/>
        <v>-378</v>
      </c>
      <c r="L52" s="59">
        <f t="shared" si="3"/>
        <v>-2.3491392703996021E-2</v>
      </c>
      <c r="M52" s="786"/>
    </row>
    <row r="53" spans="1:16" ht="96" customHeight="1" x14ac:dyDescent="0.3">
      <c r="A53" s="108">
        <v>50250</v>
      </c>
      <c r="B53" s="109" t="s">
        <v>405</v>
      </c>
      <c r="C53" s="210">
        <v>326321</v>
      </c>
      <c r="D53" s="210"/>
      <c r="E53" s="210">
        <v>326321</v>
      </c>
      <c r="F53" s="210"/>
      <c r="G53" s="708"/>
      <c r="H53" s="63">
        <f t="shared" si="6"/>
        <v>0</v>
      </c>
      <c r="I53" s="59" t="str">
        <f t="shared" si="1"/>
        <v>-</v>
      </c>
      <c r="J53" s="787"/>
      <c r="K53" s="63">
        <f t="shared" si="7"/>
        <v>-326321</v>
      </c>
      <c r="L53" s="59">
        <f t="shared" si="3"/>
        <v>-1</v>
      </c>
      <c r="M53" s="787"/>
    </row>
    <row r="54" spans="1:16" ht="168" customHeight="1" x14ac:dyDescent="0.3">
      <c r="A54" s="104">
        <v>50300</v>
      </c>
      <c r="B54" s="114" t="s">
        <v>406</v>
      </c>
      <c r="C54" s="209">
        <v>707278</v>
      </c>
      <c r="D54" s="209">
        <v>380962</v>
      </c>
      <c r="E54" s="209">
        <v>707278</v>
      </c>
      <c r="F54" s="209">
        <v>380962</v>
      </c>
      <c r="G54" s="707">
        <v>327785</v>
      </c>
      <c r="H54" s="62">
        <f t="shared" si="6"/>
        <v>-53177</v>
      </c>
      <c r="I54" s="115">
        <f t="shared" si="1"/>
        <v>-0.13958610045096362</v>
      </c>
      <c r="J54" s="702" t="s">
        <v>889</v>
      </c>
      <c r="K54" s="62">
        <f t="shared" si="7"/>
        <v>-379493</v>
      </c>
      <c r="L54" s="115">
        <f t="shared" si="3"/>
        <v>-0.53655422620242677</v>
      </c>
      <c r="M54" s="703" t="s">
        <v>890</v>
      </c>
    </row>
    <row r="55" spans="1:16" s="103" customFormat="1" ht="37.5" x14ac:dyDescent="0.3">
      <c r="A55" s="104">
        <v>51000</v>
      </c>
      <c r="B55" s="114" t="s">
        <v>407</v>
      </c>
      <c r="C55" s="206">
        <f>C29+C43</f>
        <v>14952081</v>
      </c>
      <c r="D55" s="206">
        <f>D29+D43</f>
        <v>14414373</v>
      </c>
      <c r="E55" s="206">
        <f>E29+E43</f>
        <v>14952081</v>
      </c>
      <c r="F55" s="206">
        <f>F29+F43</f>
        <v>14414373</v>
      </c>
      <c r="G55" s="704">
        <f>G29+G43</f>
        <v>15716023</v>
      </c>
      <c r="H55" s="106">
        <f t="shared" si="6"/>
        <v>1301650</v>
      </c>
      <c r="I55" s="107">
        <f t="shared" si="1"/>
        <v>9.0302228199589399E-2</v>
      </c>
      <c r="J55" s="425"/>
      <c r="K55" s="106">
        <f t="shared" si="7"/>
        <v>763942</v>
      </c>
      <c r="L55" s="107">
        <f t="shared" si="3"/>
        <v>5.1092687365725212E-2</v>
      </c>
      <c r="M55" s="425"/>
      <c r="P55" s="315"/>
    </row>
    <row r="56" spans="1:16" x14ac:dyDescent="0.3">
      <c r="A56" s="793"/>
      <c r="B56" s="794"/>
      <c r="C56" s="794"/>
      <c r="D56" s="794"/>
      <c r="E56" s="794"/>
      <c r="F56" s="794"/>
      <c r="G56" s="794"/>
      <c r="H56" s="794"/>
      <c r="I56" s="794"/>
      <c r="J56" s="794"/>
      <c r="K56" s="794"/>
      <c r="L56" s="794"/>
      <c r="M56" s="794"/>
      <c r="P56" s="314"/>
    </row>
    <row r="57" spans="1:16" s="103" customFormat="1" ht="37.5" x14ac:dyDescent="0.3">
      <c r="A57" s="104" t="s">
        <v>309</v>
      </c>
      <c r="B57" s="114" t="s">
        <v>408</v>
      </c>
      <c r="C57" s="206">
        <f>C58+C59</f>
        <v>8117211</v>
      </c>
      <c r="D57" s="206">
        <f>D58+D59</f>
        <v>7909958</v>
      </c>
      <c r="E57" s="206">
        <f>E58+E59</f>
        <v>8117211</v>
      </c>
      <c r="F57" s="206">
        <f>F58+F59</f>
        <v>7909958</v>
      </c>
      <c r="G57" s="704">
        <f>G58+G59</f>
        <v>8720264</v>
      </c>
      <c r="H57" s="106">
        <f t="shared" ref="H57:H59" si="9">G57-F57</f>
        <v>810306</v>
      </c>
      <c r="I57" s="107">
        <f t="shared" si="1"/>
        <v>0.10244125190045257</v>
      </c>
      <c r="J57" s="425"/>
      <c r="K57" s="106">
        <f t="shared" ref="K57:K59" si="10">G57-E57</f>
        <v>603053</v>
      </c>
      <c r="L57" s="107">
        <f t="shared" si="3"/>
        <v>7.4293128514215045E-2</v>
      </c>
      <c r="M57" s="425"/>
      <c r="P57" s="315"/>
    </row>
    <row r="58" spans="1:16" s="103" customFormat="1" ht="37.5" x14ac:dyDescent="0.3">
      <c r="A58" s="104">
        <v>21000</v>
      </c>
      <c r="B58" s="118" t="s">
        <v>409</v>
      </c>
      <c r="C58" s="206">
        <f t="shared" ref="C58:G58" si="11">C11</f>
        <v>5930401</v>
      </c>
      <c r="D58" s="206">
        <f t="shared" si="11"/>
        <v>5677211</v>
      </c>
      <c r="E58" s="206">
        <f t="shared" si="11"/>
        <v>5930401</v>
      </c>
      <c r="F58" s="206">
        <f t="shared" si="11"/>
        <v>5677211</v>
      </c>
      <c r="G58" s="704">
        <f t="shared" si="11"/>
        <v>5857968</v>
      </c>
      <c r="H58" s="106">
        <f t="shared" si="9"/>
        <v>180757</v>
      </c>
      <c r="I58" s="107">
        <f t="shared" si="1"/>
        <v>3.1839049138740833E-2</v>
      </c>
      <c r="J58" s="425"/>
      <c r="K58" s="106">
        <f t="shared" si="10"/>
        <v>-72433</v>
      </c>
      <c r="L58" s="107">
        <f t="shared" si="3"/>
        <v>-1.2213845235760617E-2</v>
      </c>
      <c r="M58" s="425"/>
      <c r="P58" s="315"/>
    </row>
    <row r="59" spans="1:16" s="103" customFormat="1" ht="19.5" x14ac:dyDescent="0.3">
      <c r="A59" s="104">
        <v>22000</v>
      </c>
      <c r="B59" s="119" t="s">
        <v>410</v>
      </c>
      <c r="C59" s="206">
        <f>C18</f>
        <v>2186810</v>
      </c>
      <c r="D59" s="206">
        <f>D18</f>
        <v>2232747</v>
      </c>
      <c r="E59" s="206">
        <f>E18</f>
        <v>2186810</v>
      </c>
      <c r="F59" s="206">
        <f>F18</f>
        <v>2232747</v>
      </c>
      <c r="G59" s="704">
        <f>G18</f>
        <v>2862296</v>
      </c>
      <c r="H59" s="106">
        <f t="shared" si="9"/>
        <v>629549</v>
      </c>
      <c r="I59" s="107">
        <f t="shared" si="1"/>
        <v>0.28196163739107027</v>
      </c>
      <c r="J59" s="425"/>
      <c r="K59" s="106">
        <f t="shared" si="10"/>
        <v>675486</v>
      </c>
      <c r="L59" s="107">
        <f t="shared" si="3"/>
        <v>0.30889103305728438</v>
      </c>
      <c r="M59" s="425"/>
      <c r="P59" s="315"/>
    </row>
    <row r="60" spans="1:16" s="103" customFormat="1" ht="19.5" x14ac:dyDescent="0.3">
      <c r="A60" s="120"/>
      <c r="B60" s="121"/>
      <c r="C60" s="122"/>
      <c r="D60" s="9"/>
      <c r="E60" s="122"/>
      <c r="F60" s="122"/>
      <c r="G60" s="122"/>
      <c r="H60" s="123"/>
      <c r="I60" s="124"/>
      <c r="J60" s="426"/>
      <c r="K60" s="123"/>
      <c r="L60" s="124"/>
      <c r="M60" s="426"/>
      <c r="P60" s="315"/>
    </row>
    <row r="61" spans="1:16" x14ac:dyDescent="0.3">
      <c r="A61" s="103" t="s">
        <v>544</v>
      </c>
      <c r="P61" s="314"/>
    </row>
    <row r="62" spans="1:16" ht="22.5" x14ac:dyDescent="0.3">
      <c r="A62" s="125" t="s">
        <v>605</v>
      </c>
    </row>
    <row r="63" spans="1:16" x14ac:dyDescent="0.3">
      <c r="A63" s="4" t="s">
        <v>604</v>
      </c>
    </row>
    <row r="68" spans="8:8" ht="53.25" customHeight="1" x14ac:dyDescent="0.3"/>
    <row r="69" spans="8:8" x14ac:dyDescent="0.3">
      <c r="H69" s="535"/>
    </row>
    <row r="72" spans="8:8" ht="2.25" customHeight="1" x14ac:dyDescent="0.3"/>
  </sheetData>
  <sheetProtection formatCells="0" formatColumns="0" formatRows="0"/>
  <mergeCells count="16">
    <mergeCell ref="J44:J47"/>
    <mergeCell ref="M44:M47"/>
    <mergeCell ref="J48:J53"/>
    <mergeCell ref="M48:M53"/>
    <mergeCell ref="A56:M56"/>
    <mergeCell ref="J30:J32"/>
    <mergeCell ref="M30:M32"/>
    <mergeCell ref="J33:J39"/>
    <mergeCell ref="M33:M39"/>
    <mergeCell ref="J40:J42"/>
    <mergeCell ref="M40:M42"/>
    <mergeCell ref="J11:J17"/>
    <mergeCell ref="M11:M17"/>
    <mergeCell ref="J18:J26"/>
    <mergeCell ref="M18:M26"/>
    <mergeCell ref="A28:M28"/>
  </mergeCells>
  <pageMargins left="0.70866141732283472" right="0.70866141732283472" top="0.74803149606299213" bottom="0.74803149606299213" header="0.31496062992125984" footer="0.31496062992125984"/>
  <pageSetup paperSize="9" scale="29" fitToHeight="0" orientation="portrait" r:id="rId1"/>
  <headerFooter>
    <oddHeader>&amp;C&amp;"Times New Roman,Bold"&amp;14
Bilance&amp;R&amp;"Times New Roman,Regular"&amp;14 3.pielikums</oddHeader>
    <oddFooter>&amp;C&amp;"Times New Roman,Regular"&amp;12&amp;F&amp;R&amp;"Times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4">
    <tabColor rgb="FF92D050"/>
  </sheetPr>
  <dimension ref="A1:P157"/>
  <sheetViews>
    <sheetView topLeftCell="A41" zoomScale="90" zoomScaleNormal="90" zoomScalePageLayoutView="40" workbookViewId="0">
      <selection activeCell="G135" sqref="G135:G139"/>
    </sheetView>
  </sheetViews>
  <sheetFormatPr defaultRowHeight="16.5" x14ac:dyDescent="0.2"/>
  <cols>
    <col min="1" max="1" width="8.42578125" style="525" bestFit="1" customWidth="1"/>
    <col min="2" max="2" width="42" style="433" customWidth="1"/>
    <col min="3" max="3" width="15.7109375" style="523" customWidth="1"/>
    <col min="4" max="4" width="15" style="433" customWidth="1"/>
    <col min="5" max="5" width="20.85546875" style="533" customWidth="1"/>
    <col min="6" max="6" width="15" style="433" customWidth="1"/>
    <col min="7" max="7" width="18.42578125" style="533" customWidth="1"/>
    <col min="8" max="8" width="18.7109375" style="440" customWidth="1"/>
    <col min="9" max="9" width="21.5703125" style="440" customWidth="1"/>
    <col min="10" max="10" width="42.85546875" style="433" customWidth="1"/>
    <col min="11" max="11" width="21.140625" style="440" customWidth="1"/>
    <col min="12" max="12" width="18.85546875" style="440" customWidth="1"/>
    <col min="13" max="13" width="46.7109375" style="433" customWidth="1"/>
    <col min="14" max="14" width="55.42578125" style="433" customWidth="1"/>
    <col min="15" max="15" width="17.28515625" style="433" bestFit="1" customWidth="1"/>
    <col min="16" max="16" width="12.140625" style="433" bestFit="1" customWidth="1"/>
    <col min="17" max="16384" width="9.140625" style="433"/>
  </cols>
  <sheetData>
    <row r="1" spans="1:16" ht="115.5" x14ac:dyDescent="0.2">
      <c r="A1" s="428" t="s">
        <v>0</v>
      </c>
      <c r="B1" s="564" t="s">
        <v>465</v>
      </c>
      <c r="C1" s="565" t="s">
        <v>687</v>
      </c>
      <c r="D1" s="565" t="s">
        <v>688</v>
      </c>
      <c r="E1" s="565" t="s">
        <v>780</v>
      </c>
      <c r="F1" s="565" t="s">
        <v>777</v>
      </c>
      <c r="G1" s="565" t="s">
        <v>779</v>
      </c>
      <c r="H1" s="566" t="s">
        <v>689</v>
      </c>
      <c r="I1" s="430" t="s">
        <v>684</v>
      </c>
      <c r="J1" s="429" t="s">
        <v>756</v>
      </c>
      <c r="K1" s="430" t="s">
        <v>690</v>
      </c>
      <c r="L1" s="430" t="s">
        <v>686</v>
      </c>
      <c r="M1" s="431" t="s">
        <v>756</v>
      </c>
      <c r="N1" s="432"/>
    </row>
    <row r="2" spans="1:16" x14ac:dyDescent="0.2">
      <c r="A2" s="434">
        <v>1</v>
      </c>
      <c r="B2" s="565">
        <v>2</v>
      </c>
      <c r="C2" s="567">
        <v>3</v>
      </c>
      <c r="D2" s="565">
        <v>4</v>
      </c>
      <c r="E2" s="567">
        <v>5</v>
      </c>
      <c r="F2" s="565">
        <v>6</v>
      </c>
      <c r="G2" s="567">
        <v>7</v>
      </c>
      <c r="H2" s="565">
        <v>8</v>
      </c>
      <c r="I2" s="434">
        <v>9</v>
      </c>
      <c r="J2" s="429">
        <v>10</v>
      </c>
      <c r="K2" s="434">
        <v>11</v>
      </c>
      <c r="L2" s="429">
        <v>12</v>
      </c>
      <c r="M2" s="434">
        <v>13</v>
      </c>
    </row>
    <row r="3" spans="1:16" ht="33" x14ac:dyDescent="0.2">
      <c r="A3" s="435">
        <v>10000</v>
      </c>
      <c r="B3" s="568" t="s">
        <v>182</v>
      </c>
      <c r="C3" s="569">
        <v>1845934</v>
      </c>
      <c r="D3" s="570">
        <v>707277.83999999391</v>
      </c>
      <c r="E3" s="571">
        <v>1845934</v>
      </c>
      <c r="F3" s="570">
        <v>707277.83999999403</v>
      </c>
      <c r="G3" s="571">
        <v>707278.31</v>
      </c>
      <c r="H3" s="572">
        <f>G3-F3</f>
        <v>0.47000000602565706</v>
      </c>
      <c r="I3" s="437">
        <f>IFERROR(H3/ABS(F3), "-")</f>
        <v>6.6451962643939336E-7</v>
      </c>
      <c r="J3" s="438"/>
      <c r="K3" s="436">
        <f>G3-E3</f>
        <v>-1138655.69</v>
      </c>
      <c r="L3" s="437">
        <f>IFERROR(K3/ABS(E3), "-")</f>
        <v>-0.61684528807638839</v>
      </c>
      <c r="M3" s="438"/>
    </row>
    <row r="4" spans="1:16" x14ac:dyDescent="0.2">
      <c r="A4" s="439" t="s">
        <v>191</v>
      </c>
      <c r="B4" s="798" t="s">
        <v>183</v>
      </c>
      <c r="C4" s="798"/>
      <c r="D4" s="798"/>
      <c r="E4" s="798"/>
      <c r="F4" s="798"/>
      <c r="G4" s="798"/>
      <c r="H4" s="798"/>
      <c r="J4" s="441"/>
      <c r="L4" s="442"/>
      <c r="M4" s="441"/>
    </row>
    <row r="5" spans="1:16" ht="17.25" x14ac:dyDescent="0.2">
      <c r="A5" s="443">
        <v>11000</v>
      </c>
      <c r="B5" s="568" t="s">
        <v>184</v>
      </c>
      <c r="C5" s="569">
        <f>C6+C24+C27+C31+C32+C33</f>
        <v>21860042.589999996</v>
      </c>
      <c r="D5" s="569">
        <f t="shared" ref="D5:F5" si="0">D6+D24+D27+D31+D32+D33</f>
        <v>23370780.095100001</v>
      </c>
      <c r="E5" s="569">
        <f>E6+E24+E27+E31+E32+E33</f>
        <v>21860042.589999996</v>
      </c>
      <c r="F5" s="569">
        <f t="shared" si="0"/>
        <v>23370780.095100001</v>
      </c>
      <c r="G5" s="573">
        <f>G6+G24+G27+G31+G32+G33</f>
        <v>24163597.709999997</v>
      </c>
      <c r="H5" s="574">
        <f t="shared" ref="H5:H45" si="1">G5-F5</f>
        <v>792817.61489999667</v>
      </c>
      <c r="I5" s="445">
        <f t="shared" ref="I5:I68" si="2">IFERROR(H5/ABS(F5), "-")</f>
        <v>3.3923455343547626E-2</v>
      </c>
      <c r="J5" s="446"/>
      <c r="K5" s="444">
        <f t="shared" ref="K5:K68" si="3">G5-E5</f>
        <v>2303555.120000001</v>
      </c>
      <c r="L5" s="445">
        <f t="shared" ref="L5:L68" si="4">IFERROR(K5/ABS(E5), "-")</f>
        <v>0.10537743055696404</v>
      </c>
      <c r="M5" s="446"/>
      <c r="P5" s="447"/>
    </row>
    <row r="6" spans="1:16" ht="17.25" x14ac:dyDescent="0.2">
      <c r="A6" s="448">
        <v>11100</v>
      </c>
      <c r="B6" s="575" t="s">
        <v>185</v>
      </c>
      <c r="C6" s="573">
        <f t="shared" ref="C6:E6" si="5">C7+C12+C15+C18+C23</f>
        <v>19801756.43</v>
      </c>
      <c r="D6" s="573">
        <f>D7+D12+D15+D18+D23</f>
        <v>20930893.448600002</v>
      </c>
      <c r="E6" s="573">
        <f t="shared" si="5"/>
        <v>19801756.43</v>
      </c>
      <c r="F6" s="573">
        <f>F7+F12+F15+F18+F23</f>
        <v>20930893.448600002</v>
      </c>
      <c r="G6" s="573">
        <f>G7+G12+G15+G18+G23</f>
        <v>21750134.769999996</v>
      </c>
      <c r="H6" s="574">
        <f t="shared" si="1"/>
        <v>819241.32139999419</v>
      </c>
      <c r="I6" s="445">
        <f t="shared" si="2"/>
        <v>3.9140293911093915E-2</v>
      </c>
      <c r="J6" s="446"/>
      <c r="K6" s="444">
        <f t="shared" si="3"/>
        <v>1948378.3399999961</v>
      </c>
      <c r="L6" s="445">
        <f t="shared" si="4"/>
        <v>9.8394218052706151E-2</v>
      </c>
      <c r="M6" s="446"/>
      <c r="P6" s="447"/>
    </row>
    <row r="7" spans="1:16" s="450" customFormat="1" ht="37.5" customHeight="1" x14ac:dyDescent="0.2">
      <c r="A7" s="448">
        <v>11110</v>
      </c>
      <c r="B7" s="575" t="s">
        <v>120</v>
      </c>
      <c r="C7" s="573">
        <f>SUM(C8:C11)</f>
        <v>19061688.870000001</v>
      </c>
      <c r="D7" s="573">
        <f t="shared" ref="D7:F7" si="6">SUM(D8:D11)</f>
        <v>20123731</v>
      </c>
      <c r="E7" s="573">
        <f>SUM(E8:E11)</f>
        <v>19061688.870000001</v>
      </c>
      <c r="F7" s="573">
        <f t="shared" si="6"/>
        <v>20123731</v>
      </c>
      <c r="G7" s="573">
        <f>SUM(G8:G11)</f>
        <v>20929451.749999996</v>
      </c>
      <c r="H7" s="574">
        <f t="shared" si="1"/>
        <v>805720.74999999627</v>
      </c>
      <c r="I7" s="445">
        <f>IFERROR(H7/ABS(F7), "-")</f>
        <v>4.0038338318078105E-2</v>
      </c>
      <c r="J7" s="449"/>
      <c r="K7" s="444">
        <f t="shared" si="3"/>
        <v>1867762.8799999952</v>
      </c>
      <c r="L7" s="445">
        <f>IFERROR(K7/ABS(E7), "-")</f>
        <v>9.7985172916107671E-2</v>
      </c>
      <c r="M7" s="449"/>
      <c r="P7" s="447"/>
    </row>
    <row r="8" spans="1:16" x14ac:dyDescent="0.2">
      <c r="A8" s="451">
        <v>11111</v>
      </c>
      <c r="B8" s="576" t="s">
        <v>4</v>
      </c>
      <c r="C8" s="577">
        <v>17766591.73</v>
      </c>
      <c r="D8" s="578">
        <v>18497761</v>
      </c>
      <c r="E8" s="577">
        <v>17766591.73</v>
      </c>
      <c r="F8" s="578">
        <v>18497761</v>
      </c>
      <c r="G8" s="579">
        <f>19365961.72</f>
        <v>19365961.719999999</v>
      </c>
      <c r="H8" s="580">
        <f>G8-F8</f>
        <v>868200.71999999881</v>
      </c>
      <c r="I8" s="453">
        <f>IFERROR(H8/ABS(F8), "-")</f>
        <v>4.6935449106516126E-2</v>
      </c>
      <c r="J8" s="454"/>
      <c r="K8" s="452">
        <f t="shared" si="3"/>
        <v>1599369.9899999984</v>
      </c>
      <c r="L8" s="453">
        <f t="shared" si="4"/>
        <v>9.0021204646660635E-2</v>
      </c>
      <c r="M8" s="527" t="s">
        <v>783</v>
      </c>
      <c r="P8" s="447"/>
    </row>
    <row r="9" spans="1:16" ht="156" customHeight="1" x14ac:dyDescent="0.2">
      <c r="A9" s="451">
        <v>11112</v>
      </c>
      <c r="B9" s="576" t="s">
        <v>5</v>
      </c>
      <c r="C9" s="577">
        <v>48474.57</v>
      </c>
      <c r="D9" s="578">
        <v>62888</v>
      </c>
      <c r="E9" s="577">
        <v>48474.57</v>
      </c>
      <c r="F9" s="578">
        <v>62888</v>
      </c>
      <c r="G9" s="579">
        <v>86504.83</v>
      </c>
      <c r="H9" s="580">
        <f t="shared" si="1"/>
        <v>23616.83</v>
      </c>
      <c r="I9" s="453">
        <f t="shared" si="2"/>
        <v>0.37553794046558964</v>
      </c>
      <c r="J9" s="527" t="s">
        <v>741</v>
      </c>
      <c r="K9" s="452">
        <f t="shared" si="3"/>
        <v>38030.26</v>
      </c>
      <c r="L9" s="453">
        <f t="shared" si="4"/>
        <v>0.78454043016781794</v>
      </c>
      <c r="M9" s="527" t="s">
        <v>742</v>
      </c>
      <c r="P9" s="447"/>
    </row>
    <row r="10" spans="1:16" ht="82.5" x14ac:dyDescent="0.2">
      <c r="A10" s="451">
        <v>11113</v>
      </c>
      <c r="B10" s="576" t="s">
        <v>6</v>
      </c>
      <c r="C10" s="577">
        <v>1242157.07</v>
      </c>
      <c r="D10" s="578">
        <v>1531311</v>
      </c>
      <c r="E10" s="577">
        <v>1242157.07</v>
      </c>
      <c r="F10" s="578">
        <v>1531311</v>
      </c>
      <c r="G10" s="579">
        <v>1465169.36</v>
      </c>
      <c r="H10" s="580">
        <f t="shared" si="1"/>
        <v>-66141.639999999898</v>
      </c>
      <c r="I10" s="453">
        <f t="shared" si="2"/>
        <v>-4.3192819747262245E-2</v>
      </c>
      <c r="J10" s="494"/>
      <c r="K10" s="452">
        <f t="shared" si="3"/>
        <v>223012.29000000004</v>
      </c>
      <c r="L10" s="453">
        <f t="shared" si="4"/>
        <v>0.17953630453514227</v>
      </c>
      <c r="M10" s="527" t="s">
        <v>743</v>
      </c>
      <c r="P10" s="447"/>
    </row>
    <row r="11" spans="1:16" ht="90" customHeight="1" x14ac:dyDescent="0.2">
      <c r="A11" s="451">
        <v>11114</v>
      </c>
      <c r="B11" s="576" t="s">
        <v>300</v>
      </c>
      <c r="C11" s="577">
        <v>4465.5</v>
      </c>
      <c r="D11" s="578">
        <v>31771</v>
      </c>
      <c r="E11" s="577">
        <v>4465.5</v>
      </c>
      <c r="F11" s="578">
        <v>31771</v>
      </c>
      <c r="G11" s="579">
        <v>11815.84</v>
      </c>
      <c r="H11" s="580">
        <f t="shared" si="1"/>
        <v>-19955.16</v>
      </c>
      <c r="I11" s="453">
        <f t="shared" si="2"/>
        <v>-0.62809354442730791</v>
      </c>
      <c r="J11" s="527" t="s">
        <v>745</v>
      </c>
      <c r="K11" s="452">
        <f t="shared" si="3"/>
        <v>7350.34</v>
      </c>
      <c r="L11" s="453">
        <f t="shared" si="4"/>
        <v>1.6460284402642482</v>
      </c>
      <c r="M11" s="527" t="s">
        <v>742</v>
      </c>
      <c r="P11" s="447"/>
    </row>
    <row r="12" spans="1:16" s="455" customFormat="1" ht="33" x14ac:dyDescent="0.2">
      <c r="A12" s="448">
        <v>11120</v>
      </c>
      <c r="B12" s="581" t="s">
        <v>126</v>
      </c>
      <c r="C12" s="573">
        <f t="shared" ref="C12:E12" si="7">SUM(C13:C14)</f>
        <v>0</v>
      </c>
      <c r="D12" s="573"/>
      <c r="E12" s="573">
        <f t="shared" si="7"/>
        <v>0</v>
      </c>
      <c r="F12" s="573"/>
      <c r="G12" s="573">
        <f t="shared" ref="G12" si="8">SUM(G13:G14)</f>
        <v>0</v>
      </c>
      <c r="H12" s="574">
        <f t="shared" si="1"/>
        <v>0</v>
      </c>
      <c r="I12" s="445" t="str">
        <f t="shared" si="2"/>
        <v>-</v>
      </c>
      <c r="J12" s="801"/>
      <c r="K12" s="444">
        <f t="shared" si="3"/>
        <v>0</v>
      </c>
      <c r="L12" s="445" t="str">
        <f t="shared" si="4"/>
        <v>-</v>
      </c>
      <c r="M12" s="801"/>
      <c r="P12" s="447"/>
    </row>
    <row r="13" spans="1:16" x14ac:dyDescent="0.2">
      <c r="A13" s="451">
        <v>11121</v>
      </c>
      <c r="B13" s="576" t="s">
        <v>128</v>
      </c>
      <c r="C13" s="579"/>
      <c r="D13" s="578"/>
      <c r="E13" s="579"/>
      <c r="F13" s="578"/>
      <c r="G13" s="579"/>
      <c r="H13" s="580">
        <f t="shared" si="1"/>
        <v>0</v>
      </c>
      <c r="I13" s="453" t="str">
        <f t="shared" si="2"/>
        <v>-</v>
      </c>
      <c r="J13" s="802"/>
      <c r="K13" s="452">
        <f t="shared" si="3"/>
        <v>0</v>
      </c>
      <c r="L13" s="453" t="str">
        <f t="shared" si="4"/>
        <v>-</v>
      </c>
      <c r="M13" s="802"/>
      <c r="P13" s="447"/>
    </row>
    <row r="14" spans="1:16" x14ac:dyDescent="0.2">
      <c r="A14" s="451">
        <v>11122</v>
      </c>
      <c r="B14" s="576" t="s">
        <v>130</v>
      </c>
      <c r="C14" s="579"/>
      <c r="D14" s="578"/>
      <c r="E14" s="579"/>
      <c r="F14" s="578"/>
      <c r="G14" s="579"/>
      <c r="H14" s="580">
        <f t="shared" si="1"/>
        <v>0</v>
      </c>
      <c r="I14" s="453" t="str">
        <f t="shared" si="2"/>
        <v>-</v>
      </c>
      <c r="J14" s="803"/>
      <c r="K14" s="452">
        <f t="shared" si="3"/>
        <v>0</v>
      </c>
      <c r="L14" s="453" t="str">
        <f t="shared" si="4"/>
        <v>-</v>
      </c>
      <c r="M14" s="803"/>
      <c r="P14" s="447"/>
    </row>
    <row r="15" spans="1:16" s="455" customFormat="1" ht="37.5" customHeight="1" x14ac:dyDescent="0.2">
      <c r="A15" s="448">
        <v>11130</v>
      </c>
      <c r="B15" s="581" t="s">
        <v>132</v>
      </c>
      <c r="C15" s="573">
        <f t="shared" ref="C15:G15" si="9">SUM(C16:C17)</f>
        <v>740067.56</v>
      </c>
      <c r="D15" s="573">
        <f t="shared" si="9"/>
        <v>807162.44859999989</v>
      </c>
      <c r="E15" s="573">
        <f t="shared" ref="E15:F15" si="10">SUM(E16:E17)</f>
        <v>740067.56</v>
      </c>
      <c r="F15" s="573">
        <f t="shared" si="10"/>
        <v>807162.44859999989</v>
      </c>
      <c r="G15" s="573">
        <f t="shared" si="9"/>
        <v>820683.02</v>
      </c>
      <c r="H15" s="574">
        <f t="shared" si="1"/>
        <v>13520.571400000132</v>
      </c>
      <c r="I15" s="445">
        <f t="shared" si="2"/>
        <v>1.6750743822945648E-2</v>
      </c>
      <c r="J15" s="807"/>
      <c r="K15" s="444">
        <f t="shared" si="3"/>
        <v>80615.459999999963</v>
      </c>
      <c r="L15" s="445">
        <f t="shared" si="4"/>
        <v>0.10892986580846749</v>
      </c>
      <c r="M15" s="810" t="s">
        <v>744</v>
      </c>
      <c r="P15" s="447"/>
    </row>
    <row r="16" spans="1:16" ht="96" customHeight="1" x14ac:dyDescent="0.2">
      <c r="A16" s="451">
        <v>11131</v>
      </c>
      <c r="B16" s="576" t="s">
        <v>134</v>
      </c>
      <c r="C16" s="577">
        <v>740067.56</v>
      </c>
      <c r="D16" s="578">
        <v>807162.44859999989</v>
      </c>
      <c r="E16" s="577">
        <v>740067.56</v>
      </c>
      <c r="F16" s="578">
        <v>807162.44859999989</v>
      </c>
      <c r="G16" s="579">
        <f>880+819803.02</f>
        <v>820683.02</v>
      </c>
      <c r="H16" s="580">
        <f t="shared" si="1"/>
        <v>13520.571400000132</v>
      </c>
      <c r="I16" s="453">
        <f t="shared" si="2"/>
        <v>1.6750743822945648E-2</v>
      </c>
      <c r="J16" s="808"/>
      <c r="K16" s="452">
        <f>G16-E16</f>
        <v>80615.459999999963</v>
      </c>
      <c r="L16" s="453">
        <f>IFERROR(K16/ABS(E16), "-")</f>
        <v>0.10892986580846749</v>
      </c>
      <c r="M16" s="811"/>
      <c r="P16" s="447"/>
    </row>
    <row r="17" spans="1:16" ht="33" x14ac:dyDescent="0.2">
      <c r="A17" s="451">
        <v>11132</v>
      </c>
      <c r="B17" s="576" t="s">
        <v>10</v>
      </c>
      <c r="C17" s="579"/>
      <c r="D17" s="578"/>
      <c r="E17" s="579"/>
      <c r="F17" s="578"/>
      <c r="G17" s="579"/>
      <c r="H17" s="580">
        <f t="shared" si="1"/>
        <v>0</v>
      </c>
      <c r="I17" s="453" t="str">
        <f t="shared" si="2"/>
        <v>-</v>
      </c>
      <c r="J17" s="809"/>
      <c r="K17" s="452">
        <f t="shared" si="3"/>
        <v>0</v>
      </c>
      <c r="L17" s="453" t="str">
        <f t="shared" si="4"/>
        <v>-</v>
      </c>
      <c r="M17" s="812"/>
      <c r="P17" s="447"/>
    </row>
    <row r="18" spans="1:16" s="455" customFormat="1" ht="17.25" x14ac:dyDescent="0.2">
      <c r="A18" s="448">
        <v>11140</v>
      </c>
      <c r="B18" s="581" t="s">
        <v>107</v>
      </c>
      <c r="C18" s="573">
        <f t="shared" ref="C18:E18" si="11">SUM(C19:C22)</f>
        <v>0</v>
      </c>
      <c r="D18" s="573"/>
      <c r="E18" s="573">
        <f t="shared" si="11"/>
        <v>0</v>
      </c>
      <c r="F18" s="573"/>
      <c r="G18" s="573">
        <f t="shared" ref="G18" si="12">SUM(G19:G22)</f>
        <v>0</v>
      </c>
      <c r="H18" s="574">
        <f t="shared" si="1"/>
        <v>0</v>
      </c>
      <c r="I18" s="445" t="str">
        <f t="shared" si="2"/>
        <v>-</v>
      </c>
      <c r="J18" s="801"/>
      <c r="K18" s="444">
        <f t="shared" si="3"/>
        <v>0</v>
      </c>
      <c r="L18" s="445" t="str">
        <f t="shared" si="4"/>
        <v>-</v>
      </c>
      <c r="M18" s="801"/>
      <c r="P18" s="447"/>
    </row>
    <row r="19" spans="1:16" ht="33" x14ac:dyDescent="0.2">
      <c r="A19" s="451">
        <v>11141</v>
      </c>
      <c r="B19" s="576" t="s">
        <v>8</v>
      </c>
      <c r="C19" s="579"/>
      <c r="D19" s="578"/>
      <c r="E19" s="579"/>
      <c r="F19" s="578"/>
      <c r="G19" s="579"/>
      <c r="H19" s="580">
        <f t="shared" si="1"/>
        <v>0</v>
      </c>
      <c r="I19" s="453" t="str">
        <f t="shared" si="2"/>
        <v>-</v>
      </c>
      <c r="J19" s="802"/>
      <c r="K19" s="452">
        <f t="shared" si="3"/>
        <v>0</v>
      </c>
      <c r="L19" s="453" t="str">
        <f t="shared" si="4"/>
        <v>-</v>
      </c>
      <c r="M19" s="802"/>
      <c r="P19" s="447"/>
    </row>
    <row r="20" spans="1:16" ht="33" x14ac:dyDescent="0.2">
      <c r="A20" s="451">
        <v>11142</v>
      </c>
      <c r="B20" s="576" t="s">
        <v>466</v>
      </c>
      <c r="C20" s="579"/>
      <c r="D20" s="578"/>
      <c r="E20" s="579"/>
      <c r="F20" s="578"/>
      <c r="G20" s="579"/>
      <c r="H20" s="580">
        <f t="shared" si="1"/>
        <v>0</v>
      </c>
      <c r="I20" s="453" t="str">
        <f t="shared" si="2"/>
        <v>-</v>
      </c>
      <c r="J20" s="802"/>
      <c r="K20" s="452">
        <f t="shared" si="3"/>
        <v>0</v>
      </c>
      <c r="L20" s="453" t="str">
        <f t="shared" si="4"/>
        <v>-</v>
      </c>
      <c r="M20" s="802"/>
      <c r="P20" s="447"/>
    </row>
    <row r="21" spans="1:16" ht="49.5" x14ac:dyDescent="0.2">
      <c r="A21" s="451">
        <v>11143</v>
      </c>
      <c r="B21" s="576" t="s">
        <v>11</v>
      </c>
      <c r="C21" s="579"/>
      <c r="D21" s="578"/>
      <c r="E21" s="579"/>
      <c r="F21" s="578"/>
      <c r="G21" s="579"/>
      <c r="H21" s="580">
        <f t="shared" si="1"/>
        <v>0</v>
      </c>
      <c r="I21" s="453" t="str">
        <f t="shared" si="2"/>
        <v>-</v>
      </c>
      <c r="J21" s="802"/>
      <c r="K21" s="452">
        <f t="shared" si="3"/>
        <v>0</v>
      </c>
      <c r="L21" s="453" t="str">
        <f t="shared" si="4"/>
        <v>-</v>
      </c>
      <c r="M21" s="802"/>
      <c r="P21" s="447"/>
    </row>
    <row r="22" spans="1:16" x14ac:dyDescent="0.2">
      <c r="A22" s="451">
        <v>11144</v>
      </c>
      <c r="B22" s="576" t="s">
        <v>12</v>
      </c>
      <c r="C22" s="579"/>
      <c r="D22" s="578"/>
      <c r="E22" s="579"/>
      <c r="F22" s="578"/>
      <c r="G22" s="579"/>
      <c r="H22" s="580">
        <f t="shared" si="1"/>
        <v>0</v>
      </c>
      <c r="I22" s="453" t="str">
        <f t="shared" si="2"/>
        <v>-</v>
      </c>
      <c r="J22" s="803"/>
      <c r="K22" s="452">
        <f t="shared" si="3"/>
        <v>0</v>
      </c>
      <c r="L22" s="453" t="str">
        <f t="shared" si="4"/>
        <v>-</v>
      </c>
      <c r="M22" s="803"/>
      <c r="P22" s="447"/>
    </row>
    <row r="23" spans="1:16" ht="33" x14ac:dyDescent="0.2">
      <c r="A23" s="448">
        <v>11150</v>
      </c>
      <c r="B23" s="581" t="s">
        <v>412</v>
      </c>
      <c r="C23" s="582"/>
      <c r="D23" s="583"/>
      <c r="E23" s="582"/>
      <c r="F23" s="583"/>
      <c r="G23" s="582"/>
      <c r="H23" s="584">
        <f t="shared" si="1"/>
        <v>0</v>
      </c>
      <c r="I23" s="457" t="str">
        <f t="shared" si="2"/>
        <v>-</v>
      </c>
      <c r="J23" s="458"/>
      <c r="K23" s="456">
        <f t="shared" si="3"/>
        <v>0</v>
      </c>
      <c r="L23" s="457" t="str">
        <f t="shared" si="4"/>
        <v>-</v>
      </c>
      <c r="M23" s="458"/>
      <c r="P23" s="447"/>
    </row>
    <row r="24" spans="1:16" ht="17.25" x14ac:dyDescent="0.2">
      <c r="A24" s="448">
        <v>11200</v>
      </c>
      <c r="B24" s="581" t="s">
        <v>13</v>
      </c>
      <c r="C24" s="571">
        <f>C25+C26</f>
        <v>0</v>
      </c>
      <c r="D24" s="585"/>
      <c r="E24" s="571">
        <f>E25+E26</f>
        <v>0</v>
      </c>
      <c r="F24" s="585"/>
      <c r="G24" s="571">
        <f>G25+G26</f>
        <v>0</v>
      </c>
      <c r="H24" s="572">
        <f t="shared" si="1"/>
        <v>0</v>
      </c>
      <c r="I24" s="437" t="str">
        <f t="shared" si="2"/>
        <v>-</v>
      </c>
      <c r="J24" s="804"/>
      <c r="K24" s="436">
        <f t="shared" si="3"/>
        <v>0</v>
      </c>
      <c r="L24" s="437" t="str">
        <f t="shared" si="4"/>
        <v>-</v>
      </c>
      <c r="M24" s="804"/>
      <c r="P24" s="447"/>
    </row>
    <row r="25" spans="1:16" x14ac:dyDescent="0.2">
      <c r="A25" s="459">
        <v>11210</v>
      </c>
      <c r="B25" s="586" t="s">
        <v>414</v>
      </c>
      <c r="C25" s="577"/>
      <c r="D25" s="587"/>
      <c r="E25" s="577"/>
      <c r="F25" s="587"/>
      <c r="G25" s="577"/>
      <c r="H25" s="588">
        <f t="shared" si="1"/>
        <v>0</v>
      </c>
      <c r="I25" s="461" t="str">
        <f t="shared" si="2"/>
        <v>-</v>
      </c>
      <c r="J25" s="805"/>
      <c r="K25" s="460">
        <f t="shared" si="3"/>
        <v>0</v>
      </c>
      <c r="L25" s="461" t="str">
        <f t="shared" si="4"/>
        <v>-</v>
      </c>
      <c r="M25" s="805"/>
      <c r="P25" s="447"/>
    </row>
    <row r="26" spans="1:16" x14ac:dyDescent="0.2">
      <c r="A26" s="459">
        <v>11220</v>
      </c>
      <c r="B26" s="586" t="s">
        <v>415</v>
      </c>
      <c r="C26" s="577"/>
      <c r="D26" s="587"/>
      <c r="E26" s="577"/>
      <c r="F26" s="587"/>
      <c r="G26" s="577"/>
      <c r="H26" s="588">
        <f t="shared" si="1"/>
        <v>0</v>
      </c>
      <c r="I26" s="461" t="str">
        <f t="shared" si="2"/>
        <v>-</v>
      </c>
      <c r="J26" s="806"/>
      <c r="K26" s="460">
        <f t="shared" si="3"/>
        <v>0</v>
      </c>
      <c r="L26" s="461" t="str">
        <f t="shared" si="4"/>
        <v>-</v>
      </c>
      <c r="M26" s="806"/>
      <c r="P26" s="447"/>
    </row>
    <row r="27" spans="1:16" ht="17.25" x14ac:dyDescent="0.2">
      <c r="A27" s="448">
        <v>11300</v>
      </c>
      <c r="B27" s="568" t="s">
        <v>186</v>
      </c>
      <c r="C27" s="585">
        <f t="shared" ref="C27:D27" si="13">SUM(C28:C30)</f>
        <v>1322130.7000000002</v>
      </c>
      <c r="D27" s="585">
        <f t="shared" si="13"/>
        <v>1678028.6835</v>
      </c>
      <c r="E27" s="585">
        <f t="shared" ref="E27:F27" si="14">SUM(E28:E30)</f>
        <v>1322130.7000000002</v>
      </c>
      <c r="F27" s="585">
        <f t="shared" si="14"/>
        <v>1678028.6835</v>
      </c>
      <c r="G27" s="571">
        <f>SUM(G28:G30)</f>
        <v>1649390.07</v>
      </c>
      <c r="H27" s="572">
        <f t="shared" si="1"/>
        <v>-28638.613499999978</v>
      </c>
      <c r="I27" s="437">
        <f t="shared" si="2"/>
        <v>-1.7066820002305388E-2</v>
      </c>
      <c r="J27" s="810" t="s">
        <v>692</v>
      </c>
      <c r="K27" s="436">
        <f t="shared" si="3"/>
        <v>327259.36999999988</v>
      </c>
      <c r="L27" s="437">
        <f t="shared" si="4"/>
        <v>0.24752421980671035</v>
      </c>
      <c r="M27" s="813" t="s">
        <v>781</v>
      </c>
      <c r="P27" s="447"/>
    </row>
    <row r="28" spans="1:16" x14ac:dyDescent="0.2">
      <c r="A28" s="451">
        <v>11310</v>
      </c>
      <c r="B28" s="576" t="s">
        <v>144</v>
      </c>
      <c r="C28" s="577">
        <f>1070909.34</f>
        <v>1070909.3400000001</v>
      </c>
      <c r="D28" s="578">
        <v>1412078.5345000001</v>
      </c>
      <c r="E28" s="577">
        <f>1070909.34</f>
        <v>1070909.3400000001</v>
      </c>
      <c r="F28" s="578">
        <v>1412078.5345000001</v>
      </c>
      <c r="G28" s="579">
        <v>1335362.29</v>
      </c>
      <c r="H28" s="580">
        <f t="shared" si="1"/>
        <v>-76716.24450000003</v>
      </c>
      <c r="I28" s="453">
        <f t="shared" si="2"/>
        <v>-5.4328596197494299E-2</v>
      </c>
      <c r="J28" s="811"/>
      <c r="K28" s="452">
        <f t="shared" si="3"/>
        <v>264452.94999999995</v>
      </c>
      <c r="L28" s="453">
        <f t="shared" si="4"/>
        <v>0.24694242558385002</v>
      </c>
      <c r="M28" s="814"/>
      <c r="P28" s="447"/>
    </row>
    <row r="29" spans="1:16" x14ac:dyDescent="0.2">
      <c r="A29" s="451">
        <v>11320</v>
      </c>
      <c r="B29" s="576" t="s">
        <v>145</v>
      </c>
      <c r="C29" s="577"/>
      <c r="D29" s="578"/>
      <c r="E29" s="577"/>
      <c r="F29" s="578"/>
      <c r="G29" s="579"/>
      <c r="H29" s="580">
        <f t="shared" si="1"/>
        <v>0</v>
      </c>
      <c r="I29" s="453" t="str">
        <f t="shared" si="2"/>
        <v>-</v>
      </c>
      <c r="J29" s="811"/>
      <c r="K29" s="452">
        <f t="shared" si="3"/>
        <v>0</v>
      </c>
      <c r="L29" s="453" t="str">
        <f t="shared" si="4"/>
        <v>-</v>
      </c>
      <c r="M29" s="814"/>
      <c r="P29" s="447"/>
    </row>
    <row r="30" spans="1:16" ht="53.25" customHeight="1" x14ac:dyDescent="0.2">
      <c r="A30" s="451">
        <v>11330</v>
      </c>
      <c r="B30" s="576" t="s">
        <v>15</v>
      </c>
      <c r="C30" s="577">
        <f>0.33+41.35+236084.19+119659.85+52+4.51+375.13-97479-7517</f>
        <v>251221.36</v>
      </c>
      <c r="D30" s="578">
        <v>265950.14900000003</v>
      </c>
      <c r="E30" s="577">
        <f>0.33+41.35+236084.19+119659.85+52+4.51+375.13-97479-7517</f>
        <v>251221.36</v>
      </c>
      <c r="F30" s="578">
        <v>265950.14900000003</v>
      </c>
      <c r="G30" s="579">
        <f>16.54+309965.86+5.25+0.07+57.36+11297.12-7314.42</f>
        <v>314027.77999999997</v>
      </c>
      <c r="H30" s="580">
        <f t="shared" si="1"/>
        <v>48077.630999999936</v>
      </c>
      <c r="I30" s="453">
        <f t="shared" si="2"/>
        <v>0.18077685303346053</v>
      </c>
      <c r="J30" s="812"/>
      <c r="K30" s="452">
        <f t="shared" si="3"/>
        <v>62806.419999999984</v>
      </c>
      <c r="L30" s="453">
        <f t="shared" si="4"/>
        <v>0.25000429899750559</v>
      </c>
      <c r="M30" s="815"/>
      <c r="P30" s="447"/>
    </row>
    <row r="31" spans="1:16" ht="33" x14ac:dyDescent="0.2">
      <c r="A31" s="459">
        <v>11400</v>
      </c>
      <c r="B31" s="589" t="s">
        <v>16</v>
      </c>
      <c r="C31" s="590">
        <v>317416.83</v>
      </c>
      <c r="D31" s="591">
        <v>291911.13</v>
      </c>
      <c r="E31" s="590">
        <v>317416.83</v>
      </c>
      <c r="F31" s="591">
        <v>291911.13</v>
      </c>
      <c r="G31" s="590">
        <v>341419.67</v>
      </c>
      <c r="H31" s="592">
        <f t="shared" si="1"/>
        <v>49508.539999999979</v>
      </c>
      <c r="I31" s="463">
        <f t="shared" si="2"/>
        <v>0.16960141259430558</v>
      </c>
      <c r="J31" s="464" t="s">
        <v>691</v>
      </c>
      <c r="K31" s="465">
        <f t="shared" si="3"/>
        <v>24002.839999999967</v>
      </c>
      <c r="L31" s="466">
        <f t="shared" si="4"/>
        <v>7.5619304748270486E-2</v>
      </c>
      <c r="M31" s="464" t="s">
        <v>691</v>
      </c>
      <c r="P31" s="447"/>
    </row>
    <row r="32" spans="1:16" ht="66" x14ac:dyDescent="0.2">
      <c r="A32" s="459">
        <v>11500</v>
      </c>
      <c r="B32" s="589" t="s">
        <v>299</v>
      </c>
      <c r="C32" s="590">
        <v>286092.15999999997</v>
      </c>
      <c r="D32" s="591">
        <v>320036.19300000003</v>
      </c>
      <c r="E32" s="590">
        <v>286092.15999999997</v>
      </c>
      <c r="F32" s="591">
        <v>320036.19300000003</v>
      </c>
      <c r="G32" s="590">
        <v>288393.32</v>
      </c>
      <c r="H32" s="592">
        <f t="shared" si="1"/>
        <v>-31642.873000000021</v>
      </c>
      <c r="I32" s="463">
        <f t="shared" si="2"/>
        <v>-9.8872795302873823E-2</v>
      </c>
      <c r="J32" s="527" t="s">
        <v>782</v>
      </c>
      <c r="K32" s="465">
        <f t="shared" si="3"/>
        <v>2301.1600000000326</v>
      </c>
      <c r="L32" s="466">
        <f t="shared" si="4"/>
        <v>8.0434220916785447E-3</v>
      </c>
      <c r="M32" s="526"/>
      <c r="P32" s="447"/>
    </row>
    <row r="33" spans="1:16" ht="66" x14ac:dyDescent="0.2">
      <c r="A33" s="459">
        <v>11600</v>
      </c>
      <c r="B33" s="593" t="s">
        <v>19</v>
      </c>
      <c r="C33" s="590">
        <v>132646.47</v>
      </c>
      <c r="D33" s="591">
        <v>149910.64000000001</v>
      </c>
      <c r="E33" s="590">
        <v>132646.47</v>
      </c>
      <c r="F33" s="591">
        <v>149910.64000000001</v>
      </c>
      <c r="G33" s="590">
        <v>134259.88</v>
      </c>
      <c r="H33" s="592">
        <f t="shared" si="1"/>
        <v>-15650.760000000009</v>
      </c>
      <c r="I33" s="463">
        <f t="shared" si="2"/>
        <v>-0.10440059491441039</v>
      </c>
      <c r="J33" s="527" t="s">
        <v>782</v>
      </c>
      <c r="K33" s="465">
        <f t="shared" si="3"/>
        <v>1613.4100000000035</v>
      </c>
      <c r="L33" s="466">
        <f t="shared" si="4"/>
        <v>1.2163233593777531E-2</v>
      </c>
      <c r="M33" s="467"/>
      <c r="P33" s="447"/>
    </row>
    <row r="34" spans="1:16" ht="17.25" x14ac:dyDescent="0.2">
      <c r="A34" s="443">
        <v>12000</v>
      </c>
      <c r="B34" s="568" t="s">
        <v>187</v>
      </c>
      <c r="C34" s="594">
        <f t="shared" ref="C34:D34" si="15">C35+C42</f>
        <v>21831452.150000002</v>
      </c>
      <c r="D34" s="594">
        <f t="shared" si="15"/>
        <v>22571947.660044249</v>
      </c>
      <c r="E34" s="594">
        <f t="shared" ref="E34:F34" si="16">E35+E42</f>
        <v>21831452.150000002</v>
      </c>
      <c r="F34" s="594">
        <f t="shared" si="16"/>
        <v>22571947.660044249</v>
      </c>
      <c r="G34" s="571">
        <f>G35+G42</f>
        <v>23622555.34</v>
      </c>
      <c r="H34" s="572">
        <f t="shared" si="1"/>
        <v>1050607.6799557507</v>
      </c>
      <c r="I34" s="437">
        <f t="shared" si="2"/>
        <v>4.6544839452001954E-2</v>
      </c>
      <c r="J34" s="468"/>
      <c r="K34" s="436">
        <f t="shared" si="3"/>
        <v>1791103.1899999976</v>
      </c>
      <c r="L34" s="437">
        <f t="shared" si="4"/>
        <v>8.2042329465472477E-2</v>
      </c>
      <c r="M34" s="438"/>
      <c r="P34" s="447"/>
    </row>
    <row r="35" spans="1:16" ht="17.25" x14ac:dyDescent="0.2">
      <c r="A35" s="448">
        <v>12100</v>
      </c>
      <c r="B35" s="575" t="s">
        <v>188</v>
      </c>
      <c r="C35" s="570">
        <f t="shared" ref="C35:D35" si="17">C36+C37+C38+C39+C40+C41</f>
        <v>20472673.120000001</v>
      </c>
      <c r="D35" s="570">
        <f t="shared" si="17"/>
        <v>21428845.187466592</v>
      </c>
      <c r="E35" s="570">
        <f t="shared" ref="E35:F35" si="18">E36+E37+E38+E39+E40+E41</f>
        <v>20472673.120000001</v>
      </c>
      <c r="F35" s="570">
        <f t="shared" si="18"/>
        <v>21428845.187466592</v>
      </c>
      <c r="G35" s="571">
        <f>G36+G37+G38+G39+G40+G41</f>
        <v>21744033.620000001</v>
      </c>
      <c r="H35" s="572">
        <f t="shared" si="1"/>
        <v>315188.43253340945</v>
      </c>
      <c r="I35" s="437">
        <f t="shared" si="2"/>
        <v>1.4708605609683456E-2</v>
      </c>
      <c r="J35" s="468"/>
      <c r="K35" s="436">
        <f t="shared" si="3"/>
        <v>1271360.5</v>
      </c>
      <c r="L35" s="437">
        <f t="shared" si="4"/>
        <v>6.2100366305267315E-2</v>
      </c>
      <c r="M35" s="438"/>
      <c r="P35" s="447"/>
    </row>
    <row r="36" spans="1:16" x14ac:dyDescent="0.2">
      <c r="A36" s="451">
        <v>12110</v>
      </c>
      <c r="B36" s="595" t="s">
        <v>301</v>
      </c>
      <c r="C36" s="577">
        <v>11578365.33</v>
      </c>
      <c r="D36" s="578">
        <v>11240563.328000002</v>
      </c>
      <c r="E36" s="577">
        <v>11578365.33</v>
      </c>
      <c r="F36" s="578">
        <v>11240563.328000002</v>
      </c>
      <c r="G36" s="579">
        <v>11661802.119999999</v>
      </c>
      <c r="H36" s="580">
        <f t="shared" si="1"/>
        <v>421238.79199999757</v>
      </c>
      <c r="I36" s="453">
        <f t="shared" si="2"/>
        <v>3.7474882682320805E-2</v>
      </c>
      <c r="J36" s="467"/>
      <c r="K36" s="452">
        <f t="shared" si="3"/>
        <v>83436.789999999106</v>
      </c>
      <c r="L36" s="453">
        <f t="shared" si="4"/>
        <v>7.206266827996099E-3</v>
      </c>
      <c r="M36" s="467"/>
      <c r="P36" s="447"/>
    </row>
    <row r="37" spans="1:16" ht="82.5" x14ac:dyDescent="0.2">
      <c r="A37" s="451">
        <v>12120</v>
      </c>
      <c r="B37" s="595" t="s">
        <v>302</v>
      </c>
      <c r="C37" s="577">
        <v>2889588.29</v>
      </c>
      <c r="D37" s="578">
        <v>2714278.0663000001</v>
      </c>
      <c r="E37" s="577">
        <v>2889588.29</v>
      </c>
      <c r="F37" s="578">
        <v>2714278.0663000001</v>
      </c>
      <c r="G37" s="579">
        <v>2923010.08</v>
      </c>
      <c r="H37" s="580">
        <f t="shared" si="1"/>
        <v>208732.01370000001</v>
      </c>
      <c r="I37" s="453">
        <f t="shared" si="2"/>
        <v>7.6901484888958149E-2</v>
      </c>
      <c r="J37" s="464" t="s">
        <v>847</v>
      </c>
      <c r="K37" s="452">
        <f t="shared" si="3"/>
        <v>33421.790000000037</v>
      </c>
      <c r="L37" s="453">
        <f t="shared" si="4"/>
        <v>1.1566280952778929E-2</v>
      </c>
      <c r="M37" s="467"/>
      <c r="P37" s="447"/>
    </row>
    <row r="38" spans="1:16" ht="99" x14ac:dyDescent="0.2">
      <c r="A38" s="451">
        <v>12130</v>
      </c>
      <c r="B38" s="595" t="s">
        <v>303</v>
      </c>
      <c r="C38" s="577">
        <v>270</v>
      </c>
      <c r="D38" s="578">
        <v>1278.26</v>
      </c>
      <c r="E38" s="577">
        <v>270</v>
      </c>
      <c r="F38" s="578">
        <v>1278.26</v>
      </c>
      <c r="G38" s="579">
        <v>8662.89</v>
      </c>
      <c r="H38" s="580">
        <f t="shared" si="1"/>
        <v>7384.6299999999992</v>
      </c>
      <c r="I38" s="453">
        <f t="shared" si="2"/>
        <v>5.7770954265955279</v>
      </c>
      <c r="J38" s="464" t="s">
        <v>848</v>
      </c>
      <c r="K38" s="452">
        <f t="shared" si="3"/>
        <v>8392.89</v>
      </c>
      <c r="L38" s="453">
        <f t="shared" si="4"/>
        <v>31.084777777777777</v>
      </c>
      <c r="M38" s="464" t="s">
        <v>853</v>
      </c>
      <c r="P38" s="447"/>
    </row>
    <row r="39" spans="1:16" ht="132" customHeight="1" x14ac:dyDescent="0.2">
      <c r="A39" s="451">
        <v>12140</v>
      </c>
      <c r="B39" s="595" t="s">
        <v>304</v>
      </c>
      <c r="C39" s="577">
        <f>1574995.05</f>
        <v>1574995.05</v>
      </c>
      <c r="D39" s="578">
        <v>2263200.2084319997</v>
      </c>
      <c r="E39" s="577">
        <f>1574995.05</f>
        <v>1574995.05</v>
      </c>
      <c r="F39" s="578">
        <v>2263200.2084319997</v>
      </c>
      <c r="G39" s="579">
        <f>2113742.09+1664+2799.15+896.58-6557</f>
        <v>2112544.8199999998</v>
      </c>
      <c r="H39" s="580">
        <f t="shared" si="1"/>
        <v>-150655.38843199983</v>
      </c>
      <c r="I39" s="453">
        <f t="shared" si="2"/>
        <v>-6.656741541057809E-2</v>
      </c>
      <c r="J39" s="464" t="s">
        <v>849</v>
      </c>
      <c r="K39" s="452">
        <f t="shared" si="3"/>
        <v>537549.76999999979</v>
      </c>
      <c r="L39" s="453">
        <f t="shared" si="4"/>
        <v>0.34130251393488492</v>
      </c>
      <c r="M39" s="464" t="s">
        <v>825</v>
      </c>
      <c r="P39" s="447"/>
    </row>
    <row r="40" spans="1:16" ht="261" customHeight="1" x14ac:dyDescent="0.2">
      <c r="A40" s="451">
        <v>12150</v>
      </c>
      <c r="B40" s="595" t="s">
        <v>305</v>
      </c>
      <c r="C40" s="577">
        <f>4429454.45-4118862.13</f>
        <v>310592.3200000003</v>
      </c>
      <c r="D40" s="578">
        <f>5378026.32473459-168501-D41</f>
        <v>314871.38123458996</v>
      </c>
      <c r="E40" s="577">
        <f>4429454.45-4118862.13</f>
        <v>310592.3200000003</v>
      </c>
      <c r="F40" s="578">
        <f>5378026.32473459-168501-F41</f>
        <v>314871.38123458996</v>
      </c>
      <c r="G40" s="579">
        <f>5038013.71-G41</f>
        <v>289568.44000000041</v>
      </c>
      <c r="H40" s="580">
        <f t="shared" si="1"/>
        <v>-25302.941234589554</v>
      </c>
      <c r="I40" s="453">
        <f t="shared" si="2"/>
        <v>-8.0359609486827244E-2</v>
      </c>
      <c r="J40" s="664" t="s">
        <v>850</v>
      </c>
      <c r="K40" s="452">
        <f t="shared" si="3"/>
        <v>-21023.879999999888</v>
      </c>
      <c r="L40" s="453">
        <f t="shared" si="4"/>
        <v>-6.7689632506044803E-2</v>
      </c>
      <c r="M40" s="664" t="s">
        <v>854</v>
      </c>
      <c r="N40" s="469"/>
      <c r="P40" s="447"/>
    </row>
    <row r="41" spans="1:16" ht="153" customHeight="1" x14ac:dyDescent="0.2">
      <c r="A41" s="451">
        <v>12160</v>
      </c>
      <c r="B41" s="595" t="s">
        <v>306</v>
      </c>
      <c r="C41" s="577">
        <v>4118862.13</v>
      </c>
      <c r="D41" s="578">
        <f>5063154.9435-168501</f>
        <v>4894653.9435000001</v>
      </c>
      <c r="E41" s="577">
        <v>4118862.13</v>
      </c>
      <c r="F41" s="578">
        <f>5063154.9435-168501</f>
        <v>4894653.9435000001</v>
      </c>
      <c r="G41" s="579">
        <v>4748445.2699999996</v>
      </c>
      <c r="H41" s="580">
        <f t="shared" si="1"/>
        <v>-146208.6735000005</v>
      </c>
      <c r="I41" s="453">
        <f t="shared" si="2"/>
        <v>-2.9871095114734847E-2</v>
      </c>
      <c r="J41" s="472"/>
      <c r="K41" s="470">
        <f t="shared" si="3"/>
        <v>629583.13999999966</v>
      </c>
      <c r="L41" s="471">
        <f t="shared" si="4"/>
        <v>0.15285365718225671</v>
      </c>
      <c r="M41" s="658" t="s">
        <v>855</v>
      </c>
      <c r="P41" s="447"/>
    </row>
    <row r="42" spans="1:16" ht="153" customHeight="1" x14ac:dyDescent="0.2">
      <c r="A42" s="448">
        <v>12200</v>
      </c>
      <c r="B42" s="575" t="s">
        <v>189</v>
      </c>
      <c r="C42" s="585">
        <f t="shared" ref="C42:D42" si="19">C43+C44</f>
        <v>1358779.03</v>
      </c>
      <c r="D42" s="585">
        <f t="shared" si="19"/>
        <v>1143102.4725776564</v>
      </c>
      <c r="E42" s="585">
        <f t="shared" ref="E42:F42" si="20">E43+E44</f>
        <v>1358779.03</v>
      </c>
      <c r="F42" s="585">
        <f t="shared" si="20"/>
        <v>1143102.4725776564</v>
      </c>
      <c r="G42" s="571">
        <f>G43+G44</f>
        <v>1878521.72</v>
      </c>
      <c r="H42" s="572">
        <f t="shared" si="1"/>
        <v>735419.24742234359</v>
      </c>
      <c r="I42" s="437">
        <f>IFERROR(H42/ABS(F42), "-")</f>
        <v>0.64335373692613818</v>
      </c>
      <c r="J42" s="472"/>
      <c r="K42" s="436">
        <f t="shared" si="3"/>
        <v>519742.68999999994</v>
      </c>
      <c r="L42" s="437">
        <f t="shared" si="4"/>
        <v>0.38250714687582421</v>
      </c>
      <c r="M42" s="472"/>
      <c r="P42" s="447"/>
    </row>
    <row r="43" spans="1:16" ht="18" customHeight="1" x14ac:dyDescent="0.2">
      <c r="A43" s="451">
        <v>12210</v>
      </c>
      <c r="B43" s="595" t="s">
        <v>307</v>
      </c>
      <c r="C43" s="579"/>
      <c r="D43" s="578"/>
      <c r="E43" s="579"/>
      <c r="F43" s="578"/>
      <c r="G43" s="579"/>
      <c r="H43" s="580">
        <f t="shared" si="1"/>
        <v>0</v>
      </c>
      <c r="I43" s="453" t="str">
        <f t="shared" si="2"/>
        <v>-</v>
      </c>
      <c r="J43" s="472"/>
      <c r="K43" s="452">
        <f t="shared" si="3"/>
        <v>0</v>
      </c>
      <c r="L43" s="453" t="str">
        <f t="shared" si="4"/>
        <v>-</v>
      </c>
      <c r="M43" s="472"/>
      <c r="P43" s="447"/>
    </row>
    <row r="44" spans="1:16" ht="33" x14ac:dyDescent="0.2">
      <c r="A44" s="451">
        <v>12220</v>
      </c>
      <c r="B44" s="595" t="s">
        <v>308</v>
      </c>
      <c r="C44" s="577">
        <v>1358779.03</v>
      </c>
      <c r="D44" s="578">
        <v>1143102.4725776564</v>
      </c>
      <c r="E44" s="577">
        <v>1358779.03</v>
      </c>
      <c r="F44" s="578">
        <v>1143102.4725776564</v>
      </c>
      <c r="G44" s="579">
        <v>1878521.72</v>
      </c>
      <c r="H44" s="580">
        <f t="shared" si="1"/>
        <v>735419.24742234359</v>
      </c>
      <c r="I44" s="453">
        <f t="shared" si="2"/>
        <v>0.64335373692613818</v>
      </c>
      <c r="J44" s="665" t="s">
        <v>851</v>
      </c>
      <c r="K44" s="473">
        <f t="shared" si="3"/>
        <v>519742.68999999994</v>
      </c>
      <c r="L44" s="474">
        <f t="shared" si="4"/>
        <v>0.38250714687582421</v>
      </c>
      <c r="M44" s="665" t="s">
        <v>774</v>
      </c>
      <c r="P44" s="447"/>
    </row>
    <row r="45" spans="1:16" ht="33" x14ac:dyDescent="0.2">
      <c r="A45" s="443">
        <v>13000</v>
      </c>
      <c r="B45" s="596" t="s">
        <v>190</v>
      </c>
      <c r="C45" s="594">
        <f t="shared" ref="C45:D45" si="21">C5-C34</f>
        <v>28590.439999993891</v>
      </c>
      <c r="D45" s="594">
        <f t="shared" si="21"/>
        <v>798832.43505575135</v>
      </c>
      <c r="E45" s="594">
        <f t="shared" ref="E45:F45" si="22">E5-E34</f>
        <v>28590.439999993891</v>
      </c>
      <c r="F45" s="594">
        <f t="shared" si="22"/>
        <v>798832.43505575135</v>
      </c>
      <c r="G45" s="597">
        <f t="shared" ref="G45" si="23">G5-G34</f>
        <v>541042.36999999732</v>
      </c>
      <c r="H45" s="598">
        <f t="shared" si="1"/>
        <v>-257790.06505575404</v>
      </c>
      <c r="I45" s="476">
        <f t="shared" si="2"/>
        <v>-0.3227085603224944</v>
      </c>
      <c r="J45" s="438"/>
      <c r="K45" s="475">
        <f t="shared" si="3"/>
        <v>512451.93000000343</v>
      </c>
      <c r="L45" s="476">
        <f t="shared" si="4"/>
        <v>17.923890992937253</v>
      </c>
      <c r="M45" s="438"/>
      <c r="P45" s="447"/>
    </row>
    <row r="46" spans="1:16" x14ac:dyDescent="0.2">
      <c r="A46" s="439" t="s">
        <v>196</v>
      </c>
      <c r="B46" s="798" t="s">
        <v>192</v>
      </c>
      <c r="C46" s="798"/>
      <c r="D46" s="798"/>
      <c r="E46" s="798"/>
      <c r="F46" s="798"/>
      <c r="G46" s="798"/>
      <c r="H46" s="798"/>
      <c r="I46" s="442" t="str">
        <f t="shared" si="2"/>
        <v>-</v>
      </c>
      <c r="J46" s="441"/>
      <c r="K46" s="440">
        <f t="shared" si="3"/>
        <v>0</v>
      </c>
      <c r="L46" s="442" t="str">
        <f t="shared" si="4"/>
        <v>-</v>
      </c>
      <c r="M46" s="441"/>
    </row>
    <row r="47" spans="1:16" ht="17.25" x14ac:dyDescent="0.2">
      <c r="A47" s="477">
        <v>14000</v>
      </c>
      <c r="B47" s="599" t="s">
        <v>315</v>
      </c>
      <c r="C47" s="600">
        <f>C48+C49+C50+C51+C52</f>
        <v>0</v>
      </c>
      <c r="D47" s="600">
        <f t="shared" ref="D47:G47" si="24">D48+D49+D50+D51+D52</f>
        <v>0</v>
      </c>
      <c r="E47" s="600">
        <f>E48+E49+E50+E51+E52</f>
        <v>0</v>
      </c>
      <c r="F47" s="600">
        <f t="shared" ref="F47" si="25">F48+F49+F50+F51+F52</f>
        <v>0</v>
      </c>
      <c r="G47" s="601">
        <f t="shared" si="24"/>
        <v>0</v>
      </c>
      <c r="H47" s="602">
        <f t="shared" ref="H47:H63" si="26">G47-F47</f>
        <v>0</v>
      </c>
      <c r="I47" s="476" t="str">
        <f t="shared" si="2"/>
        <v>-</v>
      </c>
      <c r="J47" s="479"/>
      <c r="K47" s="478">
        <f t="shared" si="3"/>
        <v>0</v>
      </c>
      <c r="L47" s="476" t="str">
        <f t="shared" si="4"/>
        <v>-</v>
      </c>
      <c r="M47" s="479"/>
    </row>
    <row r="48" spans="1:16" ht="66" x14ac:dyDescent="0.2">
      <c r="A48" s="480">
        <v>14100</v>
      </c>
      <c r="B48" s="603" t="s">
        <v>311</v>
      </c>
      <c r="C48" s="604"/>
      <c r="D48" s="605"/>
      <c r="E48" s="604"/>
      <c r="F48" s="605"/>
      <c r="G48" s="604"/>
      <c r="H48" s="606">
        <f t="shared" si="26"/>
        <v>0</v>
      </c>
      <c r="I48" s="463" t="str">
        <f t="shared" si="2"/>
        <v>-</v>
      </c>
      <c r="J48" s="482"/>
      <c r="K48" s="481">
        <f t="shared" si="3"/>
        <v>0</v>
      </c>
      <c r="L48" s="463" t="str">
        <f t="shared" si="4"/>
        <v>-</v>
      </c>
      <c r="M48" s="482"/>
    </row>
    <row r="49" spans="1:13" ht="37.5" customHeight="1" x14ac:dyDescent="0.2">
      <c r="A49" s="480">
        <v>14200</v>
      </c>
      <c r="B49" s="603" t="s">
        <v>193</v>
      </c>
      <c r="C49" s="604"/>
      <c r="D49" s="605"/>
      <c r="E49" s="604"/>
      <c r="F49" s="605"/>
      <c r="G49" s="604"/>
      <c r="H49" s="606">
        <f t="shared" si="26"/>
        <v>0</v>
      </c>
      <c r="I49" s="463" t="str">
        <f t="shared" si="2"/>
        <v>-</v>
      </c>
      <c r="J49" s="482"/>
      <c r="K49" s="481">
        <f t="shared" si="3"/>
        <v>0</v>
      </c>
      <c r="L49" s="463" t="str">
        <f t="shared" si="4"/>
        <v>-</v>
      </c>
      <c r="M49" s="482"/>
    </row>
    <row r="50" spans="1:13" ht="17.25" x14ac:dyDescent="0.2">
      <c r="A50" s="480">
        <v>14300</v>
      </c>
      <c r="B50" s="589" t="s">
        <v>195</v>
      </c>
      <c r="C50" s="604"/>
      <c r="D50" s="605"/>
      <c r="E50" s="604"/>
      <c r="F50" s="605"/>
      <c r="G50" s="604"/>
      <c r="H50" s="606">
        <f t="shared" si="26"/>
        <v>0</v>
      </c>
      <c r="I50" s="463" t="str">
        <f t="shared" si="2"/>
        <v>-</v>
      </c>
      <c r="J50" s="482"/>
      <c r="K50" s="481">
        <f t="shared" si="3"/>
        <v>0</v>
      </c>
      <c r="L50" s="463" t="str">
        <f t="shared" si="4"/>
        <v>-</v>
      </c>
      <c r="M50" s="482"/>
    </row>
    <row r="51" spans="1:13" ht="17.25" x14ac:dyDescent="0.2">
      <c r="A51" s="480">
        <v>14400</v>
      </c>
      <c r="B51" s="589" t="s">
        <v>316</v>
      </c>
      <c r="C51" s="604"/>
      <c r="D51" s="605"/>
      <c r="E51" s="604"/>
      <c r="F51" s="605"/>
      <c r="G51" s="604"/>
      <c r="H51" s="606">
        <f t="shared" si="26"/>
        <v>0</v>
      </c>
      <c r="I51" s="463" t="str">
        <f t="shared" si="2"/>
        <v>-</v>
      </c>
      <c r="J51" s="482"/>
      <c r="K51" s="481">
        <f t="shared" si="3"/>
        <v>0</v>
      </c>
      <c r="L51" s="463" t="str">
        <f t="shared" si="4"/>
        <v>-</v>
      </c>
      <c r="M51" s="482"/>
    </row>
    <row r="52" spans="1:13" ht="17.25" x14ac:dyDescent="0.2">
      <c r="A52" s="480">
        <v>14500</v>
      </c>
      <c r="B52" s="589" t="s">
        <v>317</v>
      </c>
      <c r="C52" s="604"/>
      <c r="D52" s="605"/>
      <c r="E52" s="604"/>
      <c r="F52" s="605"/>
      <c r="G52" s="604"/>
      <c r="H52" s="606">
        <f t="shared" si="26"/>
        <v>0</v>
      </c>
      <c r="I52" s="463" t="str">
        <f t="shared" si="2"/>
        <v>-</v>
      </c>
      <c r="J52" s="482"/>
      <c r="K52" s="481">
        <f t="shared" si="3"/>
        <v>0</v>
      </c>
      <c r="L52" s="463" t="str">
        <f t="shared" si="4"/>
        <v>-</v>
      </c>
      <c r="M52" s="482"/>
    </row>
    <row r="53" spans="1:13" ht="17.25" x14ac:dyDescent="0.2">
      <c r="A53" s="477">
        <v>15000</v>
      </c>
      <c r="B53" s="607" t="s">
        <v>318</v>
      </c>
      <c r="C53" s="600">
        <f ca="1">C54+C55+C104</f>
        <v>1338102</v>
      </c>
      <c r="D53" s="600">
        <f t="shared" ref="D53" si="27">D54+D55+D104</f>
        <v>1293300</v>
      </c>
      <c r="E53" s="600">
        <f ca="1">E54+E55+E104</f>
        <v>1338102</v>
      </c>
      <c r="F53" s="600">
        <f t="shared" ref="F53" si="28">F54+F55+F104</f>
        <v>1293300</v>
      </c>
      <c r="G53" s="688">
        <f ca="1">G54+G55+G104</f>
        <v>1088687</v>
      </c>
      <c r="H53" s="602">
        <f t="shared" ca="1" si="26"/>
        <v>-204613</v>
      </c>
      <c r="I53" s="476">
        <f t="shared" ca="1" si="2"/>
        <v>-0.15821000541251062</v>
      </c>
      <c r="J53" s="479"/>
      <c r="K53" s="478">
        <f t="shared" ca="1" si="3"/>
        <v>-249415</v>
      </c>
      <c r="L53" s="476">
        <f t="shared" ca="1" si="4"/>
        <v>-0.1863946096784849</v>
      </c>
      <c r="M53" s="479"/>
    </row>
    <row r="54" spans="1:13" ht="49.5" x14ac:dyDescent="0.2">
      <c r="A54" s="480">
        <v>15100</v>
      </c>
      <c r="B54" s="603" t="s">
        <v>310</v>
      </c>
      <c r="C54" s="604"/>
      <c r="D54" s="605"/>
      <c r="E54" s="604"/>
      <c r="F54" s="605"/>
      <c r="G54" s="689"/>
      <c r="H54" s="606">
        <f t="shared" si="26"/>
        <v>0</v>
      </c>
      <c r="I54" s="463" t="str">
        <f t="shared" si="2"/>
        <v>-</v>
      </c>
      <c r="J54" s="482"/>
      <c r="K54" s="481">
        <f t="shared" si="3"/>
        <v>0</v>
      </c>
      <c r="L54" s="463" t="str">
        <f t="shared" si="4"/>
        <v>-</v>
      </c>
      <c r="M54" s="482"/>
    </row>
    <row r="55" spans="1:13" ht="36" x14ac:dyDescent="0.2">
      <c r="A55" s="480">
        <v>15200</v>
      </c>
      <c r="B55" s="603" t="s">
        <v>766</v>
      </c>
      <c r="C55" s="608">
        <f ca="1">C56+C72+C88</f>
        <v>1338102</v>
      </c>
      <c r="D55" s="608">
        <f t="shared" ref="D55" si="29">D56+D72+D88</f>
        <v>1293300</v>
      </c>
      <c r="E55" s="608">
        <f ca="1">E56+E72+E88</f>
        <v>1338102</v>
      </c>
      <c r="F55" s="608">
        <f t="shared" ref="F55" si="30">F56+F72+F88</f>
        <v>1293300</v>
      </c>
      <c r="G55" s="690">
        <f ca="1">G56+G72+G88</f>
        <v>1088687</v>
      </c>
      <c r="H55" s="609">
        <f t="shared" ca="1" si="26"/>
        <v>-204613</v>
      </c>
      <c r="I55" s="484">
        <f t="shared" ca="1" si="2"/>
        <v>-0.15821000541251062</v>
      </c>
      <c r="J55" s="479"/>
      <c r="K55" s="483">
        <f t="shared" ca="1" si="3"/>
        <v>-249415</v>
      </c>
      <c r="L55" s="484">
        <f t="shared" ca="1" si="4"/>
        <v>-0.1863946096784849</v>
      </c>
      <c r="M55" s="479"/>
    </row>
    <row r="56" spans="1:13" ht="19.5" customHeight="1" x14ac:dyDescent="0.2">
      <c r="A56" s="485">
        <v>15210</v>
      </c>
      <c r="B56" s="610" t="s">
        <v>314</v>
      </c>
      <c r="C56" s="611">
        <f t="shared" ref="C56:D56" ca="1" si="31">C57+C60+C63+C66+C69</f>
        <v>47069</v>
      </c>
      <c r="D56" s="611">
        <f t="shared" si="31"/>
        <v>0</v>
      </c>
      <c r="E56" s="611">
        <f t="shared" ref="E56:F56" ca="1" si="32">E57+E60+E63+E66+E69</f>
        <v>47069</v>
      </c>
      <c r="F56" s="611">
        <f t="shared" si="32"/>
        <v>0</v>
      </c>
      <c r="G56" s="691">
        <f ca="1">G57+G60+G63+G66+G69</f>
        <v>33275</v>
      </c>
      <c r="H56" s="612">
        <f t="shared" ca="1" si="26"/>
        <v>33275</v>
      </c>
      <c r="I56" s="437" t="str">
        <f t="shared" ca="1" si="2"/>
        <v>-</v>
      </c>
      <c r="J56" s="778" t="s">
        <v>866</v>
      </c>
      <c r="K56" s="486">
        <f t="shared" ca="1" si="3"/>
        <v>-13794</v>
      </c>
      <c r="L56" s="437">
        <f t="shared" ca="1" si="4"/>
        <v>-0.29305912596401029</v>
      </c>
      <c r="M56" s="816" t="s">
        <v>856</v>
      </c>
    </row>
    <row r="57" spans="1:13" ht="49.5" x14ac:dyDescent="0.2">
      <c r="A57" s="434">
        <v>15211</v>
      </c>
      <c r="B57" s="595" t="s">
        <v>529</v>
      </c>
      <c r="C57" s="613">
        <f ca="1">SUM(OFFSET(C60,-1,0):OFFSET(C57,1,0))</f>
        <v>0</v>
      </c>
      <c r="D57" s="614"/>
      <c r="E57" s="613">
        <f ca="1">SUM(OFFSET(E60,-1,0):OFFSET(E57,1,0))</f>
        <v>0</v>
      </c>
      <c r="F57" s="614"/>
      <c r="G57" s="692">
        <f ca="1">SUM(OFFSET(G60,-1,0):OFFSET(G57,1,0))</f>
        <v>0</v>
      </c>
      <c r="H57" s="615">
        <f t="shared" ca="1" si="26"/>
        <v>0</v>
      </c>
      <c r="I57" s="488" t="str">
        <f t="shared" ca="1" si="2"/>
        <v>-</v>
      </c>
      <c r="J57" s="779"/>
      <c r="K57" s="487">
        <f t="shared" ca="1" si="3"/>
        <v>0</v>
      </c>
      <c r="L57" s="488" t="str">
        <f t="shared" ca="1" si="4"/>
        <v>-</v>
      </c>
      <c r="M57" s="817"/>
    </row>
    <row r="58" spans="1:13" s="492" customFormat="1" ht="18.75" customHeight="1" x14ac:dyDescent="0.2">
      <c r="A58" s="489"/>
      <c r="B58" s="616"/>
      <c r="C58" s="617"/>
      <c r="D58" s="618"/>
      <c r="E58" s="617"/>
      <c r="F58" s="618"/>
      <c r="G58" s="693"/>
      <c r="H58" s="619">
        <f t="shared" si="26"/>
        <v>0</v>
      </c>
      <c r="I58" s="491" t="str">
        <f t="shared" si="2"/>
        <v>-</v>
      </c>
      <c r="J58" s="779"/>
      <c r="K58" s="490">
        <f t="shared" si="3"/>
        <v>0</v>
      </c>
      <c r="L58" s="491" t="str">
        <f t="shared" si="4"/>
        <v>-</v>
      </c>
      <c r="M58" s="817"/>
    </row>
    <row r="59" spans="1:13" s="492" customFormat="1" x14ac:dyDescent="0.2">
      <c r="A59" s="489"/>
      <c r="B59" s="616"/>
      <c r="C59" s="617"/>
      <c r="D59" s="618"/>
      <c r="E59" s="617"/>
      <c r="F59" s="618"/>
      <c r="G59" s="693"/>
      <c r="H59" s="619">
        <f t="shared" si="26"/>
        <v>0</v>
      </c>
      <c r="I59" s="491" t="str">
        <f t="shared" si="2"/>
        <v>-</v>
      </c>
      <c r="J59" s="779"/>
      <c r="K59" s="490">
        <f t="shared" si="3"/>
        <v>0</v>
      </c>
      <c r="L59" s="491" t="str">
        <f t="shared" si="4"/>
        <v>-</v>
      </c>
      <c r="M59" s="817"/>
    </row>
    <row r="60" spans="1:13" ht="49.5" x14ac:dyDescent="0.2">
      <c r="A60" s="434">
        <v>15212</v>
      </c>
      <c r="B60" s="595" t="s">
        <v>530</v>
      </c>
      <c r="C60" s="613">
        <f ca="1">SUM(OFFSET(C63,-1,0):OFFSET(C60,1,0))</f>
        <v>0</v>
      </c>
      <c r="D60" s="614"/>
      <c r="E60" s="613">
        <f ca="1">SUM(OFFSET(E63,-1,0):OFFSET(E60,1,0))</f>
        <v>0</v>
      </c>
      <c r="F60" s="614"/>
      <c r="G60" s="692">
        <f ca="1">SUM(OFFSET(G63,-1,0):OFFSET(G60,1,0))</f>
        <v>0</v>
      </c>
      <c r="H60" s="615">
        <f t="shared" ca="1" si="26"/>
        <v>0</v>
      </c>
      <c r="I60" s="488" t="str">
        <f t="shared" ca="1" si="2"/>
        <v>-</v>
      </c>
      <c r="J60" s="779"/>
      <c r="K60" s="487">
        <f t="shared" ca="1" si="3"/>
        <v>0</v>
      </c>
      <c r="L60" s="488" t="str">
        <f t="shared" ca="1" si="4"/>
        <v>-</v>
      </c>
      <c r="M60" s="817"/>
    </row>
    <row r="61" spans="1:13" s="492" customFormat="1" ht="18.75" customHeight="1" x14ac:dyDescent="0.2">
      <c r="A61" s="489"/>
      <c r="B61" s="616"/>
      <c r="C61" s="617"/>
      <c r="D61" s="618"/>
      <c r="E61" s="617"/>
      <c r="F61" s="618"/>
      <c r="G61" s="693"/>
      <c r="H61" s="619">
        <f t="shared" si="26"/>
        <v>0</v>
      </c>
      <c r="I61" s="491" t="str">
        <f t="shared" si="2"/>
        <v>-</v>
      </c>
      <c r="J61" s="779"/>
      <c r="K61" s="490">
        <f t="shared" si="3"/>
        <v>0</v>
      </c>
      <c r="L61" s="491" t="str">
        <f t="shared" si="4"/>
        <v>-</v>
      </c>
      <c r="M61" s="817"/>
    </row>
    <row r="62" spans="1:13" s="492" customFormat="1" x14ac:dyDescent="0.2">
      <c r="A62" s="489"/>
      <c r="B62" s="616"/>
      <c r="C62" s="617"/>
      <c r="D62" s="618"/>
      <c r="E62" s="617"/>
      <c r="F62" s="618"/>
      <c r="G62" s="693"/>
      <c r="H62" s="619">
        <f t="shared" si="26"/>
        <v>0</v>
      </c>
      <c r="I62" s="491" t="str">
        <f t="shared" si="2"/>
        <v>-</v>
      </c>
      <c r="J62" s="779"/>
      <c r="K62" s="490">
        <f t="shared" si="3"/>
        <v>0</v>
      </c>
      <c r="L62" s="491" t="str">
        <f t="shared" si="4"/>
        <v>-</v>
      </c>
      <c r="M62" s="817"/>
    </row>
    <row r="63" spans="1:13" ht="33" x14ac:dyDescent="0.2">
      <c r="A63" s="434">
        <v>15213</v>
      </c>
      <c r="B63" s="595" t="s">
        <v>531</v>
      </c>
      <c r="C63" s="613">
        <f ca="1">SUM(OFFSET(C66,-1,0):OFFSET(C63,1,0))</f>
        <v>0</v>
      </c>
      <c r="D63" s="614"/>
      <c r="E63" s="613">
        <f ca="1">SUM(OFFSET(E66,-1,0):OFFSET(E63,1,0))</f>
        <v>0</v>
      </c>
      <c r="F63" s="614"/>
      <c r="G63" s="692">
        <f ca="1">SUM(OFFSET(G66,-1,0):OFFSET(G63,1,0))</f>
        <v>0</v>
      </c>
      <c r="H63" s="615">
        <f t="shared" ca="1" si="26"/>
        <v>0</v>
      </c>
      <c r="I63" s="488" t="str">
        <f t="shared" ca="1" si="2"/>
        <v>-</v>
      </c>
      <c r="J63" s="779"/>
      <c r="K63" s="487">
        <f ca="1">G63-E63</f>
        <v>0</v>
      </c>
      <c r="L63" s="488" t="str">
        <f t="shared" ca="1" si="4"/>
        <v>-</v>
      </c>
      <c r="M63" s="817"/>
    </row>
    <row r="64" spans="1:13" s="492" customFormat="1" ht="39.75" customHeight="1" x14ac:dyDescent="0.2">
      <c r="A64" s="489"/>
      <c r="B64" s="616"/>
      <c r="C64" s="618"/>
      <c r="D64" s="618"/>
      <c r="E64" s="618"/>
      <c r="F64" s="618"/>
      <c r="G64" s="694"/>
      <c r="H64" s="619"/>
      <c r="I64" s="491" t="str">
        <f t="shared" si="2"/>
        <v>-</v>
      </c>
      <c r="J64" s="779"/>
      <c r="K64" s="490">
        <f t="shared" si="3"/>
        <v>0</v>
      </c>
      <c r="L64" s="491" t="str">
        <f t="shared" si="4"/>
        <v>-</v>
      </c>
      <c r="M64" s="817"/>
    </row>
    <row r="65" spans="1:14" s="492" customFormat="1" ht="39.75" customHeight="1" x14ac:dyDescent="0.2">
      <c r="A65" s="489"/>
      <c r="B65" s="616"/>
      <c r="C65" s="617"/>
      <c r="D65" s="618"/>
      <c r="E65" s="617"/>
      <c r="F65" s="618"/>
      <c r="G65" s="693"/>
      <c r="H65" s="619">
        <f t="shared" ref="H65:H105" si="33">G65-F65</f>
        <v>0</v>
      </c>
      <c r="I65" s="491" t="str">
        <f t="shared" si="2"/>
        <v>-</v>
      </c>
      <c r="J65" s="779"/>
      <c r="K65" s="490">
        <f t="shared" si="3"/>
        <v>0</v>
      </c>
      <c r="L65" s="491" t="str">
        <f t="shared" si="4"/>
        <v>-</v>
      </c>
      <c r="M65" s="817"/>
    </row>
    <row r="66" spans="1:14" ht="33" x14ac:dyDescent="0.2">
      <c r="A66" s="434">
        <v>15214</v>
      </c>
      <c r="B66" s="595" t="s">
        <v>532</v>
      </c>
      <c r="C66" s="613">
        <f ca="1">SUM(OFFSET(C69,-1,0):OFFSET(C66,1,0))</f>
        <v>0</v>
      </c>
      <c r="D66" s="614"/>
      <c r="E66" s="613">
        <f ca="1">SUM(OFFSET(E69,-1,0):OFFSET(E66,1,0))</f>
        <v>0</v>
      </c>
      <c r="F66" s="614"/>
      <c r="G66" s="692">
        <f ca="1">SUM(OFFSET(G69,-1,0):OFFSET(G66,1,0))</f>
        <v>0</v>
      </c>
      <c r="H66" s="615">
        <f t="shared" ca="1" si="33"/>
        <v>0</v>
      </c>
      <c r="I66" s="488" t="str">
        <f t="shared" ca="1" si="2"/>
        <v>-</v>
      </c>
      <c r="J66" s="779"/>
      <c r="K66" s="487">
        <f t="shared" ca="1" si="3"/>
        <v>0</v>
      </c>
      <c r="L66" s="488" t="str">
        <f t="shared" ca="1" si="4"/>
        <v>-</v>
      </c>
      <c r="M66" s="817"/>
    </row>
    <row r="67" spans="1:14" s="492" customFormat="1" ht="18.75" customHeight="1" x14ac:dyDescent="0.2">
      <c r="A67" s="489"/>
      <c r="B67" s="616"/>
      <c r="C67" s="617"/>
      <c r="D67" s="618"/>
      <c r="E67" s="617"/>
      <c r="F67" s="618"/>
      <c r="G67" s="693"/>
      <c r="H67" s="619">
        <f t="shared" si="33"/>
        <v>0</v>
      </c>
      <c r="I67" s="491" t="str">
        <f t="shared" si="2"/>
        <v>-</v>
      </c>
      <c r="J67" s="780"/>
      <c r="K67" s="490">
        <f t="shared" si="3"/>
        <v>0</v>
      </c>
      <c r="L67" s="491" t="str">
        <f t="shared" si="4"/>
        <v>-</v>
      </c>
      <c r="M67" s="817"/>
    </row>
    <row r="68" spans="1:14" s="492" customFormat="1" x14ac:dyDescent="0.2">
      <c r="A68" s="489"/>
      <c r="B68" s="616"/>
      <c r="C68" s="617"/>
      <c r="D68" s="618"/>
      <c r="E68" s="617"/>
      <c r="F68" s="618"/>
      <c r="G68" s="693"/>
      <c r="H68" s="619">
        <f t="shared" si="33"/>
        <v>0</v>
      </c>
      <c r="I68" s="491" t="str">
        <f t="shared" si="2"/>
        <v>-</v>
      </c>
      <c r="J68" s="695"/>
      <c r="K68" s="490">
        <f t="shared" si="3"/>
        <v>0</v>
      </c>
      <c r="L68" s="491" t="str">
        <f t="shared" si="4"/>
        <v>-</v>
      </c>
      <c r="M68" s="817"/>
    </row>
    <row r="69" spans="1:14" ht="33" x14ac:dyDescent="0.2">
      <c r="A69" s="434">
        <v>15215</v>
      </c>
      <c r="B69" s="595" t="s">
        <v>533</v>
      </c>
      <c r="C69" s="613">
        <v>47069</v>
      </c>
      <c r="D69" s="614"/>
      <c r="E69" s="613">
        <v>47069</v>
      </c>
      <c r="F69" s="614"/>
      <c r="G69" s="692">
        <f>G70</f>
        <v>33275</v>
      </c>
      <c r="H69" s="615">
        <f t="shared" si="33"/>
        <v>33275</v>
      </c>
      <c r="I69" s="488" t="str">
        <f t="shared" ref="I69:I132" si="34">IFERROR(H69/ABS(F69), "-")</f>
        <v>-</v>
      </c>
      <c r="J69" s="695"/>
      <c r="K69" s="487">
        <f t="shared" ref="K69:K105" si="35">G69-E69</f>
        <v>-13794</v>
      </c>
      <c r="L69" s="488">
        <f t="shared" ref="L69:L132" si="36">IFERROR(K69/ABS(E69), "-")</f>
        <v>-0.29305912596401029</v>
      </c>
      <c r="M69" s="817"/>
    </row>
    <row r="70" spans="1:14" s="492" customFormat="1" ht="18.75" customHeight="1" x14ac:dyDescent="0.2">
      <c r="A70" s="489"/>
      <c r="B70" s="616"/>
      <c r="C70" s="617"/>
      <c r="D70" s="618"/>
      <c r="E70" s="617"/>
      <c r="F70" s="618"/>
      <c r="G70" s="693">
        <v>33275</v>
      </c>
      <c r="H70" s="619">
        <f t="shared" si="33"/>
        <v>33275</v>
      </c>
      <c r="I70" s="491" t="str">
        <f t="shared" si="34"/>
        <v>-</v>
      </c>
      <c r="J70" s="695"/>
      <c r="K70" s="490">
        <f t="shared" si="35"/>
        <v>33275</v>
      </c>
      <c r="L70" s="491" t="str">
        <f t="shared" si="36"/>
        <v>-</v>
      </c>
      <c r="M70" s="817"/>
    </row>
    <row r="71" spans="1:14" s="492" customFormat="1" x14ac:dyDescent="0.2">
      <c r="A71" s="489"/>
      <c r="B71" s="616"/>
      <c r="C71" s="617"/>
      <c r="D71" s="618"/>
      <c r="E71" s="617"/>
      <c r="F71" s="618"/>
      <c r="G71" s="693"/>
      <c r="H71" s="619">
        <f t="shared" si="33"/>
        <v>0</v>
      </c>
      <c r="I71" s="491" t="str">
        <f t="shared" si="34"/>
        <v>-</v>
      </c>
      <c r="J71" s="696"/>
      <c r="K71" s="490">
        <f t="shared" si="35"/>
        <v>0</v>
      </c>
      <c r="L71" s="491" t="str">
        <f t="shared" si="36"/>
        <v>-</v>
      </c>
      <c r="M71" s="818"/>
    </row>
    <row r="72" spans="1:14" ht="19.5" customHeight="1" x14ac:dyDescent="0.2">
      <c r="A72" s="485">
        <v>15220</v>
      </c>
      <c r="B72" s="610" t="s">
        <v>312</v>
      </c>
      <c r="C72" s="611">
        <f t="shared" ref="C72:D72" ca="1" si="37">C73+C76+C79+C82+C85</f>
        <v>776172</v>
      </c>
      <c r="D72" s="611">
        <f t="shared" si="37"/>
        <v>1093300</v>
      </c>
      <c r="E72" s="611">
        <f t="shared" ref="E72:F72" ca="1" si="38">E73+E76+E79+E82+E85</f>
        <v>776172</v>
      </c>
      <c r="F72" s="611">
        <f t="shared" si="38"/>
        <v>1093300</v>
      </c>
      <c r="G72" s="691">
        <f>G85</f>
        <v>789907</v>
      </c>
      <c r="H72" s="612">
        <f t="shared" si="33"/>
        <v>-303393</v>
      </c>
      <c r="I72" s="437">
        <f>IFERROR(H72/ABS(F72), "-")</f>
        <v>-0.27750205798957284</v>
      </c>
      <c r="J72" s="819" t="s">
        <v>870</v>
      </c>
      <c r="K72" s="486">
        <f t="shared" ca="1" si="35"/>
        <v>13735</v>
      </c>
      <c r="L72" s="437">
        <f t="shared" ca="1" si="36"/>
        <v>1.769581999866009E-2</v>
      </c>
      <c r="M72" s="825" t="s">
        <v>871</v>
      </c>
    </row>
    <row r="73" spans="1:14" ht="49.5" x14ac:dyDescent="0.2">
      <c r="A73" s="434">
        <v>15221</v>
      </c>
      <c r="B73" s="595" t="s">
        <v>534</v>
      </c>
      <c r="C73" s="613">
        <f ca="1">SUM(OFFSET(C76,-1,0):OFFSET(C73,1,0))</f>
        <v>0</v>
      </c>
      <c r="D73" s="614"/>
      <c r="E73" s="613">
        <f ca="1">SUM(OFFSET(E76,-1,0):OFFSET(E73,1,0))</f>
        <v>0</v>
      </c>
      <c r="F73" s="614"/>
      <c r="G73" s="692">
        <f ca="1">SUM(OFFSET(G76,-1,0):OFFSET(G73,1,0))</f>
        <v>0</v>
      </c>
      <c r="H73" s="615">
        <f t="shared" ca="1" si="33"/>
        <v>0</v>
      </c>
      <c r="I73" s="488" t="str">
        <f t="shared" ca="1" si="34"/>
        <v>-</v>
      </c>
      <c r="J73" s="820"/>
      <c r="K73" s="487">
        <f t="shared" ca="1" si="35"/>
        <v>0</v>
      </c>
      <c r="L73" s="488" t="str">
        <f t="shared" ca="1" si="36"/>
        <v>-</v>
      </c>
      <c r="M73" s="826"/>
    </row>
    <row r="74" spans="1:14" s="492" customFormat="1" x14ac:dyDescent="0.2">
      <c r="A74" s="489"/>
      <c r="B74" s="616"/>
      <c r="C74" s="617"/>
      <c r="D74" s="618"/>
      <c r="E74" s="617"/>
      <c r="F74" s="618"/>
      <c r="G74" s="693"/>
      <c r="H74" s="619">
        <f t="shared" si="33"/>
        <v>0</v>
      </c>
      <c r="I74" s="491" t="str">
        <f t="shared" si="34"/>
        <v>-</v>
      </c>
      <c r="J74" s="820"/>
      <c r="K74" s="490">
        <f t="shared" si="35"/>
        <v>0</v>
      </c>
      <c r="L74" s="491" t="str">
        <f t="shared" si="36"/>
        <v>-</v>
      </c>
      <c r="M74" s="826"/>
    </row>
    <row r="75" spans="1:14" s="492" customFormat="1" x14ac:dyDescent="0.2">
      <c r="A75" s="489"/>
      <c r="B75" s="616"/>
      <c r="C75" s="617"/>
      <c r="D75" s="618"/>
      <c r="E75" s="617"/>
      <c r="F75" s="618"/>
      <c r="G75" s="693"/>
      <c r="H75" s="619">
        <f t="shared" si="33"/>
        <v>0</v>
      </c>
      <c r="I75" s="491" t="str">
        <f t="shared" si="34"/>
        <v>-</v>
      </c>
      <c r="J75" s="820"/>
      <c r="K75" s="490">
        <f t="shared" si="35"/>
        <v>0</v>
      </c>
      <c r="L75" s="491" t="str">
        <f t="shared" si="36"/>
        <v>-</v>
      </c>
      <c r="M75" s="826"/>
    </row>
    <row r="76" spans="1:14" ht="49.5" x14ac:dyDescent="0.2">
      <c r="A76" s="434">
        <v>15222</v>
      </c>
      <c r="B76" s="595" t="s">
        <v>530</v>
      </c>
      <c r="C76" s="613">
        <f ca="1">SUM(OFFSET(C79,-1,0):OFFSET(C76,1,0))</f>
        <v>0</v>
      </c>
      <c r="D76" s="614"/>
      <c r="E76" s="613">
        <f ca="1">SUM(OFFSET(E79,-1,0):OFFSET(E76,1,0))</f>
        <v>0</v>
      </c>
      <c r="F76" s="614"/>
      <c r="G76" s="692">
        <f ca="1">SUM(OFFSET(G79,-1,0):OFFSET(G76,1,0))</f>
        <v>0</v>
      </c>
      <c r="H76" s="615">
        <f t="shared" ca="1" si="33"/>
        <v>0</v>
      </c>
      <c r="I76" s="488" t="str">
        <f t="shared" ca="1" si="34"/>
        <v>-</v>
      </c>
      <c r="J76" s="820"/>
      <c r="K76" s="487">
        <f t="shared" ca="1" si="35"/>
        <v>0</v>
      </c>
      <c r="L76" s="488" t="str">
        <f t="shared" ca="1" si="36"/>
        <v>-</v>
      </c>
      <c r="M76" s="826"/>
    </row>
    <row r="77" spans="1:14" s="492" customFormat="1" x14ac:dyDescent="0.2">
      <c r="A77" s="489"/>
      <c r="B77" s="616"/>
      <c r="C77" s="617"/>
      <c r="D77" s="618"/>
      <c r="E77" s="617"/>
      <c r="F77" s="618"/>
      <c r="G77" s="693"/>
      <c r="H77" s="619">
        <f t="shared" si="33"/>
        <v>0</v>
      </c>
      <c r="I77" s="491" t="str">
        <f t="shared" si="34"/>
        <v>-</v>
      </c>
      <c r="J77" s="820"/>
      <c r="K77" s="490">
        <f t="shared" si="35"/>
        <v>0</v>
      </c>
      <c r="L77" s="491" t="str">
        <f t="shared" si="36"/>
        <v>-</v>
      </c>
      <c r="M77" s="826"/>
      <c r="N77" s="493"/>
    </row>
    <row r="78" spans="1:14" s="492" customFormat="1" x14ac:dyDescent="0.2">
      <c r="A78" s="489"/>
      <c r="B78" s="616"/>
      <c r="C78" s="617"/>
      <c r="D78" s="618"/>
      <c r="E78" s="617"/>
      <c r="F78" s="618"/>
      <c r="G78" s="693"/>
      <c r="H78" s="619">
        <f t="shared" si="33"/>
        <v>0</v>
      </c>
      <c r="I78" s="491" t="str">
        <f t="shared" si="34"/>
        <v>-</v>
      </c>
      <c r="J78" s="820"/>
      <c r="K78" s="490">
        <f t="shared" si="35"/>
        <v>0</v>
      </c>
      <c r="L78" s="491" t="str">
        <f t="shared" si="36"/>
        <v>-</v>
      </c>
      <c r="M78" s="826"/>
      <c r="N78" s="493"/>
    </row>
    <row r="79" spans="1:14" ht="39" customHeight="1" x14ac:dyDescent="0.2">
      <c r="A79" s="434">
        <v>15223</v>
      </c>
      <c r="B79" s="595" t="s">
        <v>531</v>
      </c>
      <c r="C79" s="613">
        <f ca="1">SUM(OFFSET(C82,-1,0):OFFSET(C79,1,0))</f>
        <v>0</v>
      </c>
      <c r="D79" s="614"/>
      <c r="E79" s="613">
        <f ca="1">SUM(OFFSET(E82,-1,0):OFFSET(E79,1,0))</f>
        <v>0</v>
      </c>
      <c r="F79" s="614"/>
      <c r="G79" s="692">
        <f ca="1">SUM(OFFSET(G82,-1,0):OFFSET(G79,1,0))</f>
        <v>0</v>
      </c>
      <c r="H79" s="615">
        <f t="shared" ca="1" si="33"/>
        <v>0</v>
      </c>
      <c r="I79" s="488" t="str">
        <f t="shared" ca="1" si="34"/>
        <v>-</v>
      </c>
      <c r="J79" s="820"/>
      <c r="K79" s="487">
        <f t="shared" ca="1" si="35"/>
        <v>0</v>
      </c>
      <c r="L79" s="488" t="str">
        <f t="shared" ca="1" si="36"/>
        <v>-</v>
      </c>
      <c r="M79" s="826"/>
      <c r="N79" s="494"/>
    </row>
    <row r="80" spans="1:14" s="492" customFormat="1" ht="39" customHeight="1" x14ac:dyDescent="0.2">
      <c r="A80" s="489"/>
      <c r="B80" s="616"/>
      <c r="C80" s="617"/>
      <c r="D80" s="618"/>
      <c r="E80" s="617"/>
      <c r="F80" s="618"/>
      <c r="G80" s="693"/>
      <c r="H80" s="619">
        <f t="shared" si="33"/>
        <v>0</v>
      </c>
      <c r="I80" s="491" t="str">
        <f t="shared" si="34"/>
        <v>-</v>
      </c>
      <c r="J80" s="820"/>
      <c r="K80" s="490">
        <f t="shared" si="35"/>
        <v>0</v>
      </c>
      <c r="L80" s="491" t="str">
        <f t="shared" si="36"/>
        <v>-</v>
      </c>
      <c r="M80" s="826"/>
      <c r="N80" s="493"/>
    </row>
    <row r="81" spans="1:14" s="492" customFormat="1" ht="39" customHeight="1" x14ac:dyDescent="0.2">
      <c r="A81" s="489"/>
      <c r="B81" s="616"/>
      <c r="C81" s="617"/>
      <c r="D81" s="618"/>
      <c r="E81" s="617"/>
      <c r="F81" s="618"/>
      <c r="G81" s="693"/>
      <c r="H81" s="619">
        <f t="shared" si="33"/>
        <v>0</v>
      </c>
      <c r="I81" s="491" t="str">
        <f t="shared" si="34"/>
        <v>-</v>
      </c>
      <c r="J81" s="820"/>
      <c r="K81" s="490">
        <f t="shared" si="35"/>
        <v>0</v>
      </c>
      <c r="L81" s="491" t="str">
        <f t="shared" si="36"/>
        <v>-</v>
      </c>
      <c r="M81" s="826"/>
      <c r="N81" s="493"/>
    </row>
    <row r="82" spans="1:14" ht="33" x14ac:dyDescent="0.2">
      <c r="A82" s="434">
        <v>15224</v>
      </c>
      <c r="B82" s="595" t="s">
        <v>532</v>
      </c>
      <c r="C82" s="613">
        <f ca="1">SUM(OFFSET(C85,-1,0):OFFSET(C82,1,0))</f>
        <v>0</v>
      </c>
      <c r="D82" s="614"/>
      <c r="E82" s="613">
        <f ca="1">SUM(OFFSET(E85,-1,0):OFFSET(E82,1,0))</f>
        <v>0</v>
      </c>
      <c r="F82" s="614"/>
      <c r="G82" s="692">
        <f ca="1">SUM(OFFSET(G85,-1,0):OFFSET(G82,1,0))</f>
        <v>0</v>
      </c>
      <c r="H82" s="615">
        <f t="shared" ca="1" si="33"/>
        <v>0</v>
      </c>
      <c r="I82" s="488" t="str">
        <f t="shared" ca="1" si="34"/>
        <v>-</v>
      </c>
      <c r="J82" s="820"/>
      <c r="K82" s="487">
        <f t="shared" ca="1" si="35"/>
        <v>0</v>
      </c>
      <c r="L82" s="488" t="str">
        <f t="shared" ca="1" si="36"/>
        <v>-</v>
      </c>
      <c r="M82" s="826"/>
      <c r="N82" s="494"/>
    </row>
    <row r="83" spans="1:14" s="492" customFormat="1" x14ac:dyDescent="0.2">
      <c r="A83" s="489"/>
      <c r="B83" s="616"/>
      <c r="C83" s="617"/>
      <c r="D83" s="618"/>
      <c r="E83" s="617"/>
      <c r="F83" s="618"/>
      <c r="G83" s="693"/>
      <c r="H83" s="619">
        <f t="shared" si="33"/>
        <v>0</v>
      </c>
      <c r="I83" s="491" t="str">
        <f t="shared" si="34"/>
        <v>-</v>
      </c>
      <c r="J83" s="820"/>
      <c r="K83" s="490">
        <f t="shared" si="35"/>
        <v>0</v>
      </c>
      <c r="L83" s="491" t="str">
        <f t="shared" si="36"/>
        <v>-</v>
      </c>
      <c r="M83" s="826"/>
      <c r="N83" s="493"/>
    </row>
    <row r="84" spans="1:14" s="492" customFormat="1" x14ac:dyDescent="0.2">
      <c r="A84" s="489"/>
      <c r="B84" s="616"/>
      <c r="C84" s="617"/>
      <c r="D84" s="618"/>
      <c r="E84" s="617"/>
      <c r="F84" s="618"/>
      <c r="G84" s="693"/>
      <c r="H84" s="619">
        <f t="shared" si="33"/>
        <v>0</v>
      </c>
      <c r="I84" s="491" t="str">
        <f t="shared" si="34"/>
        <v>-</v>
      </c>
      <c r="J84" s="820"/>
      <c r="K84" s="490">
        <f t="shared" si="35"/>
        <v>0</v>
      </c>
      <c r="L84" s="491" t="str">
        <f t="shared" si="36"/>
        <v>-</v>
      </c>
      <c r="M84" s="826"/>
      <c r="N84" s="493"/>
    </row>
    <row r="85" spans="1:14" ht="33" x14ac:dyDescent="0.2">
      <c r="A85" s="434">
        <v>15225</v>
      </c>
      <c r="B85" s="595" t="s">
        <v>533</v>
      </c>
      <c r="C85" s="614">
        <f ca="1">SUM(OFFSET(C88,-1,0):OFFSET(C85,1,0))</f>
        <v>776172</v>
      </c>
      <c r="D85" s="614">
        <f t="shared" ref="D85:F85" si="39">D86+D87</f>
        <v>1093300</v>
      </c>
      <c r="E85" s="614">
        <f ca="1">SUM(OFFSET(E88,-1,0):OFFSET(E85,1,0))</f>
        <v>776172</v>
      </c>
      <c r="F85" s="614">
        <f t="shared" si="39"/>
        <v>1093300</v>
      </c>
      <c r="G85" s="692">
        <v>789907</v>
      </c>
      <c r="H85" s="615">
        <f t="shared" si="33"/>
        <v>-303393</v>
      </c>
      <c r="I85" s="488">
        <f t="shared" si="34"/>
        <v>-0.27750205798957284</v>
      </c>
      <c r="J85" s="820"/>
      <c r="K85" s="487">
        <f t="shared" ca="1" si="35"/>
        <v>13735</v>
      </c>
      <c r="L85" s="488">
        <f t="shared" ca="1" si="36"/>
        <v>1.769581999866009E-2</v>
      </c>
      <c r="M85" s="826"/>
      <c r="N85" s="494"/>
    </row>
    <row r="86" spans="1:14" s="492" customFormat="1" x14ac:dyDescent="0.2">
      <c r="A86" s="489"/>
      <c r="B86" s="616"/>
      <c r="C86" s="617"/>
      <c r="D86" s="618"/>
      <c r="E86" s="617"/>
      <c r="F86" s="618"/>
      <c r="G86" s="693"/>
      <c r="H86" s="619">
        <f t="shared" si="33"/>
        <v>0</v>
      </c>
      <c r="I86" s="491" t="str">
        <f t="shared" si="34"/>
        <v>-</v>
      </c>
      <c r="J86" s="820"/>
      <c r="K86" s="490">
        <f t="shared" si="35"/>
        <v>0</v>
      </c>
      <c r="L86" s="491" t="str">
        <f t="shared" si="36"/>
        <v>-</v>
      </c>
      <c r="M86" s="826"/>
      <c r="N86" s="493"/>
    </row>
    <row r="87" spans="1:14" s="492" customFormat="1" x14ac:dyDescent="0.2">
      <c r="A87" s="489"/>
      <c r="B87" s="616"/>
      <c r="C87" s="617">
        <v>776172</v>
      </c>
      <c r="D87" s="618">
        <v>1093300</v>
      </c>
      <c r="E87" s="617">
        <v>776172</v>
      </c>
      <c r="F87" s="618">
        <v>1093300</v>
      </c>
      <c r="G87" s="693">
        <v>789907</v>
      </c>
      <c r="H87" s="619">
        <f t="shared" si="33"/>
        <v>-303393</v>
      </c>
      <c r="I87" s="491">
        <f t="shared" si="34"/>
        <v>-0.27750205798957284</v>
      </c>
      <c r="J87" s="821"/>
      <c r="K87" s="490">
        <f t="shared" si="35"/>
        <v>13735</v>
      </c>
      <c r="L87" s="491">
        <f t="shared" si="36"/>
        <v>1.769581999866009E-2</v>
      </c>
      <c r="M87" s="826"/>
      <c r="N87" s="493"/>
    </row>
    <row r="88" spans="1:14" ht="19.5" customHeight="1" x14ac:dyDescent="0.2">
      <c r="A88" s="485">
        <v>15230</v>
      </c>
      <c r="B88" s="610" t="s">
        <v>313</v>
      </c>
      <c r="C88" s="611">
        <f ca="1">C89+C92+C95+C98+C101</f>
        <v>514861</v>
      </c>
      <c r="D88" s="611">
        <f t="shared" ref="D88" si="40">D89+D92+D95+D98+D101</f>
        <v>200000</v>
      </c>
      <c r="E88" s="611">
        <f ca="1">E89+E92+E95+E98+E101</f>
        <v>514861</v>
      </c>
      <c r="F88" s="611">
        <f t="shared" ref="F88" si="41">F89+F92+F95+F98+F101</f>
        <v>200000</v>
      </c>
      <c r="G88" s="691">
        <f ca="1">G89+G92+G95+G98+G101</f>
        <v>265505</v>
      </c>
      <c r="H88" s="612">
        <f t="shared" ca="1" si="33"/>
        <v>65505</v>
      </c>
      <c r="I88" s="437">
        <f t="shared" ca="1" si="34"/>
        <v>0.32752500000000001</v>
      </c>
      <c r="J88" s="697"/>
      <c r="K88" s="486">
        <f t="shared" ca="1" si="35"/>
        <v>-249356</v>
      </c>
      <c r="L88" s="437">
        <f t="shared" ca="1" si="36"/>
        <v>-0.48431712637002999</v>
      </c>
      <c r="M88" s="826"/>
      <c r="N88" s="494"/>
    </row>
    <row r="89" spans="1:14" ht="56.25" customHeight="1" x14ac:dyDescent="0.2">
      <c r="A89" s="434">
        <v>15231</v>
      </c>
      <c r="B89" s="595" t="s">
        <v>534</v>
      </c>
      <c r="C89" s="613">
        <f ca="1">SUM(OFFSET(C92,-1,0):OFFSET(C89,1,0))</f>
        <v>0</v>
      </c>
      <c r="D89" s="614"/>
      <c r="E89" s="613">
        <f ca="1">SUM(OFFSET(E92,-1,0):OFFSET(E89,1,0))</f>
        <v>0</v>
      </c>
      <c r="F89" s="614"/>
      <c r="G89" s="692">
        <f ca="1">SUM(OFFSET(G92,-1,0):OFFSET(G89,1,0))</f>
        <v>0</v>
      </c>
      <c r="H89" s="615">
        <f t="shared" ca="1" si="33"/>
        <v>0</v>
      </c>
      <c r="I89" s="488" t="str">
        <f t="shared" ca="1" si="34"/>
        <v>-</v>
      </c>
      <c r="J89" s="827" t="s">
        <v>868</v>
      </c>
      <c r="K89" s="487">
        <f t="shared" ca="1" si="35"/>
        <v>0</v>
      </c>
      <c r="L89" s="495" t="str">
        <f t="shared" ca="1" si="36"/>
        <v>-</v>
      </c>
      <c r="M89" s="825" t="s">
        <v>869</v>
      </c>
      <c r="N89" s="494"/>
    </row>
    <row r="90" spans="1:14" s="492" customFormat="1" ht="18.75" customHeight="1" x14ac:dyDescent="0.2">
      <c r="A90" s="489"/>
      <c r="B90" s="616"/>
      <c r="C90" s="617"/>
      <c r="D90" s="618"/>
      <c r="E90" s="617"/>
      <c r="F90" s="618"/>
      <c r="G90" s="693"/>
      <c r="H90" s="619">
        <f t="shared" si="33"/>
        <v>0</v>
      </c>
      <c r="I90" s="491" t="str">
        <f t="shared" si="34"/>
        <v>-</v>
      </c>
      <c r="J90" s="827"/>
      <c r="K90" s="490">
        <f t="shared" si="35"/>
        <v>0</v>
      </c>
      <c r="L90" s="491" t="str">
        <f t="shared" si="36"/>
        <v>-</v>
      </c>
      <c r="M90" s="826"/>
      <c r="N90" s="493"/>
    </row>
    <row r="91" spans="1:14" s="492" customFormat="1" ht="18.75" customHeight="1" x14ac:dyDescent="0.2">
      <c r="A91" s="489"/>
      <c r="B91" s="616"/>
      <c r="C91" s="617"/>
      <c r="D91" s="618"/>
      <c r="E91" s="617"/>
      <c r="F91" s="618"/>
      <c r="G91" s="693"/>
      <c r="H91" s="619">
        <f t="shared" si="33"/>
        <v>0</v>
      </c>
      <c r="I91" s="491" t="str">
        <f t="shared" si="34"/>
        <v>-</v>
      </c>
      <c r="J91" s="827"/>
      <c r="K91" s="490">
        <f t="shared" si="35"/>
        <v>0</v>
      </c>
      <c r="L91" s="491" t="str">
        <f t="shared" si="36"/>
        <v>-</v>
      </c>
      <c r="M91" s="826"/>
      <c r="N91" s="493"/>
    </row>
    <row r="92" spans="1:14" ht="56.25" customHeight="1" x14ac:dyDescent="0.2">
      <c r="A92" s="434">
        <v>15232</v>
      </c>
      <c r="B92" s="595" t="s">
        <v>530</v>
      </c>
      <c r="C92" s="613">
        <f ca="1">SUM(OFFSET(C95,-1,0):OFFSET(C92,1,0))</f>
        <v>0</v>
      </c>
      <c r="D92" s="614"/>
      <c r="E92" s="613">
        <f ca="1">SUM(OFFSET(E95,-1,0):OFFSET(E92,1,0))</f>
        <v>0</v>
      </c>
      <c r="F92" s="614"/>
      <c r="G92" s="692">
        <f ca="1">SUM(OFFSET(G95,-1,0):OFFSET(G92,1,0))</f>
        <v>0</v>
      </c>
      <c r="H92" s="615">
        <f t="shared" ca="1" si="33"/>
        <v>0</v>
      </c>
      <c r="I92" s="488" t="str">
        <f t="shared" ca="1" si="34"/>
        <v>-</v>
      </c>
      <c r="J92" s="827"/>
      <c r="K92" s="487">
        <f t="shared" ca="1" si="35"/>
        <v>0</v>
      </c>
      <c r="L92" s="488" t="str">
        <f t="shared" ca="1" si="36"/>
        <v>-</v>
      </c>
      <c r="M92" s="826"/>
      <c r="N92" s="494"/>
    </row>
    <row r="93" spans="1:14" s="492" customFormat="1" ht="246.75" customHeight="1" x14ac:dyDescent="0.2">
      <c r="A93" s="489"/>
      <c r="B93" s="616"/>
      <c r="C93" s="617"/>
      <c r="D93" s="618"/>
      <c r="E93" s="617"/>
      <c r="F93" s="618"/>
      <c r="G93" s="693"/>
      <c r="H93" s="619">
        <f t="shared" si="33"/>
        <v>0</v>
      </c>
      <c r="I93" s="491" t="str">
        <f t="shared" si="34"/>
        <v>-</v>
      </c>
      <c r="J93" s="827"/>
      <c r="K93" s="490">
        <f t="shared" si="35"/>
        <v>0</v>
      </c>
      <c r="L93" s="491" t="str">
        <f t="shared" si="36"/>
        <v>-</v>
      </c>
      <c r="M93" s="826"/>
    </row>
    <row r="94" spans="1:14" s="492" customFormat="1" ht="18.75" customHeight="1" x14ac:dyDescent="0.2">
      <c r="A94" s="489"/>
      <c r="B94" s="616"/>
      <c r="C94" s="617"/>
      <c r="D94" s="618"/>
      <c r="E94" s="617"/>
      <c r="F94" s="618"/>
      <c r="G94" s="693"/>
      <c r="H94" s="619">
        <f t="shared" si="33"/>
        <v>0</v>
      </c>
      <c r="I94" s="491" t="str">
        <f t="shared" si="34"/>
        <v>-</v>
      </c>
      <c r="J94" s="827"/>
      <c r="K94" s="490">
        <f t="shared" si="35"/>
        <v>0</v>
      </c>
      <c r="L94" s="491" t="str">
        <f t="shared" si="36"/>
        <v>-</v>
      </c>
      <c r="M94" s="826"/>
      <c r="N94" s="493"/>
    </row>
    <row r="95" spans="1:14" ht="38.25" customHeight="1" x14ac:dyDescent="0.2">
      <c r="A95" s="434">
        <v>15233</v>
      </c>
      <c r="B95" s="595" t="s">
        <v>531</v>
      </c>
      <c r="C95" s="613">
        <f ca="1">SUM(OFFSET(C98,-1,0):OFFSET(C95,1,0))</f>
        <v>0</v>
      </c>
      <c r="D95" s="614"/>
      <c r="E95" s="613">
        <f ca="1">SUM(OFFSET(E98,-1,0):OFFSET(E95,1,0))</f>
        <v>0</v>
      </c>
      <c r="F95" s="614"/>
      <c r="G95" s="692">
        <f ca="1">SUM(OFFSET(G98,-1,0):OFFSET(G95,1,0))</f>
        <v>0</v>
      </c>
      <c r="H95" s="615">
        <f t="shared" ca="1" si="33"/>
        <v>0</v>
      </c>
      <c r="I95" s="488" t="str">
        <f t="shared" ca="1" si="34"/>
        <v>-</v>
      </c>
      <c r="J95" s="827"/>
      <c r="K95" s="487">
        <f t="shared" ca="1" si="35"/>
        <v>0</v>
      </c>
      <c r="L95" s="488" t="str">
        <f t="shared" ca="1" si="36"/>
        <v>-</v>
      </c>
      <c r="M95" s="828"/>
      <c r="N95" s="494"/>
    </row>
    <row r="96" spans="1:14" s="492" customFormat="1" ht="38.25" customHeight="1" x14ac:dyDescent="0.2">
      <c r="A96" s="489"/>
      <c r="B96" s="616"/>
      <c r="C96" s="617"/>
      <c r="D96" s="618"/>
      <c r="E96" s="617"/>
      <c r="F96" s="618"/>
      <c r="G96" s="693"/>
      <c r="H96" s="619">
        <f t="shared" si="33"/>
        <v>0</v>
      </c>
      <c r="I96" s="491" t="str">
        <f t="shared" si="34"/>
        <v>-</v>
      </c>
      <c r="J96" s="827"/>
      <c r="K96" s="490">
        <f t="shared" si="35"/>
        <v>0</v>
      </c>
      <c r="L96" s="491" t="str">
        <f t="shared" si="36"/>
        <v>-</v>
      </c>
      <c r="M96" s="698"/>
      <c r="N96" s="493"/>
    </row>
    <row r="97" spans="1:14" s="492" customFormat="1" ht="38.25" customHeight="1" x14ac:dyDescent="0.2">
      <c r="A97" s="489"/>
      <c r="B97" s="616"/>
      <c r="C97" s="617"/>
      <c r="D97" s="618"/>
      <c r="E97" s="617"/>
      <c r="F97" s="618"/>
      <c r="G97" s="693"/>
      <c r="H97" s="619">
        <f t="shared" si="33"/>
        <v>0</v>
      </c>
      <c r="I97" s="491" t="str">
        <f t="shared" si="34"/>
        <v>-</v>
      </c>
      <c r="J97" s="827"/>
      <c r="K97" s="490">
        <f t="shared" si="35"/>
        <v>0</v>
      </c>
      <c r="L97" s="491" t="str">
        <f t="shared" si="36"/>
        <v>-</v>
      </c>
      <c r="M97" s="698"/>
      <c r="N97" s="493"/>
    </row>
    <row r="98" spans="1:14" ht="37.5" customHeight="1" x14ac:dyDescent="0.2">
      <c r="A98" s="434">
        <v>15234</v>
      </c>
      <c r="B98" s="595" t="s">
        <v>532</v>
      </c>
      <c r="C98" s="613">
        <f ca="1">SUM(OFFSET(C101,-1,0):OFFSET(C98,1,0))</f>
        <v>0</v>
      </c>
      <c r="D98" s="614"/>
      <c r="E98" s="613">
        <f ca="1">SUM(OFFSET(E101,-1,0):OFFSET(E98,1,0))</f>
        <v>0</v>
      </c>
      <c r="F98" s="614"/>
      <c r="G98" s="692">
        <f ca="1">SUM(OFFSET(G101,-1,0):OFFSET(G98,1,0))</f>
        <v>0</v>
      </c>
      <c r="H98" s="615">
        <f t="shared" ca="1" si="33"/>
        <v>0</v>
      </c>
      <c r="I98" s="488" t="str">
        <f t="shared" ca="1" si="34"/>
        <v>-</v>
      </c>
      <c r="J98" s="827"/>
      <c r="K98" s="487">
        <f t="shared" ca="1" si="35"/>
        <v>0</v>
      </c>
      <c r="L98" s="488" t="str">
        <f t="shared" ca="1" si="36"/>
        <v>-</v>
      </c>
      <c r="M98" s="698"/>
      <c r="N98" s="494"/>
    </row>
    <row r="99" spans="1:14" s="492" customFormat="1" ht="18.75" customHeight="1" x14ac:dyDescent="0.2">
      <c r="A99" s="489"/>
      <c r="B99" s="616"/>
      <c r="C99" s="617"/>
      <c r="D99" s="618"/>
      <c r="E99" s="617"/>
      <c r="F99" s="618"/>
      <c r="G99" s="693"/>
      <c r="H99" s="619">
        <f t="shared" si="33"/>
        <v>0</v>
      </c>
      <c r="I99" s="491" t="str">
        <f t="shared" si="34"/>
        <v>-</v>
      </c>
      <c r="J99" s="827"/>
      <c r="K99" s="490">
        <f t="shared" si="35"/>
        <v>0</v>
      </c>
      <c r="L99" s="491" t="str">
        <f t="shared" si="36"/>
        <v>-</v>
      </c>
      <c r="M99" s="698"/>
      <c r="N99" s="493"/>
    </row>
    <row r="100" spans="1:14" s="492" customFormat="1" ht="18.75" customHeight="1" x14ac:dyDescent="0.2">
      <c r="A100" s="489"/>
      <c r="B100" s="616"/>
      <c r="C100" s="617"/>
      <c r="D100" s="618"/>
      <c r="E100" s="617"/>
      <c r="F100" s="618"/>
      <c r="G100" s="693"/>
      <c r="H100" s="619">
        <f t="shared" si="33"/>
        <v>0</v>
      </c>
      <c r="I100" s="491" t="str">
        <f t="shared" si="34"/>
        <v>-</v>
      </c>
      <c r="J100" s="827"/>
      <c r="K100" s="490">
        <f t="shared" si="35"/>
        <v>0</v>
      </c>
      <c r="L100" s="491" t="str">
        <f t="shared" si="36"/>
        <v>-</v>
      </c>
      <c r="M100" s="698"/>
      <c r="N100" s="493"/>
    </row>
    <row r="101" spans="1:14" ht="93.75" customHeight="1" x14ac:dyDescent="0.2">
      <c r="A101" s="434">
        <v>15234</v>
      </c>
      <c r="B101" s="595" t="s">
        <v>533</v>
      </c>
      <c r="C101" s="613">
        <v>514861</v>
      </c>
      <c r="D101" s="614">
        <f t="shared" ref="D101:F101" si="42">D102</f>
        <v>200000</v>
      </c>
      <c r="E101" s="613">
        <v>514861</v>
      </c>
      <c r="F101" s="614">
        <f t="shared" si="42"/>
        <v>200000</v>
      </c>
      <c r="G101" s="692">
        <v>265505</v>
      </c>
      <c r="H101" s="615">
        <f t="shared" si="33"/>
        <v>65505</v>
      </c>
      <c r="I101" s="488">
        <f t="shared" si="34"/>
        <v>0.32752500000000001</v>
      </c>
      <c r="J101" s="827"/>
      <c r="K101" s="487">
        <f t="shared" si="35"/>
        <v>-249356</v>
      </c>
      <c r="L101" s="488">
        <f t="shared" si="36"/>
        <v>-0.48431712637002999</v>
      </c>
      <c r="M101" s="698"/>
      <c r="N101" s="494"/>
    </row>
    <row r="102" spans="1:14" s="492" customFormat="1" ht="18.75" customHeight="1" x14ac:dyDescent="0.2">
      <c r="A102" s="489"/>
      <c r="B102" s="616"/>
      <c r="C102" s="617"/>
      <c r="D102" s="618">
        <v>200000</v>
      </c>
      <c r="E102" s="617"/>
      <c r="F102" s="618">
        <v>200000</v>
      </c>
      <c r="G102" s="693">
        <v>0</v>
      </c>
      <c r="H102" s="619">
        <f t="shared" si="33"/>
        <v>-200000</v>
      </c>
      <c r="I102" s="491">
        <f t="shared" si="34"/>
        <v>-1</v>
      </c>
      <c r="J102" s="827"/>
      <c r="K102" s="490">
        <f t="shared" si="35"/>
        <v>0</v>
      </c>
      <c r="L102" s="491" t="str">
        <f t="shared" si="36"/>
        <v>-</v>
      </c>
      <c r="M102" s="698"/>
      <c r="N102" s="493"/>
    </row>
    <row r="103" spans="1:14" s="492" customFormat="1" ht="18.75" customHeight="1" x14ac:dyDescent="0.2">
      <c r="A103" s="489"/>
      <c r="B103" s="616"/>
      <c r="C103" s="617"/>
      <c r="D103" s="618"/>
      <c r="E103" s="617"/>
      <c r="F103" s="618"/>
      <c r="G103" s="693">
        <v>0</v>
      </c>
      <c r="H103" s="619">
        <f t="shared" si="33"/>
        <v>0</v>
      </c>
      <c r="I103" s="461" t="str">
        <f t="shared" si="34"/>
        <v>-</v>
      </c>
      <c r="J103" s="827"/>
      <c r="K103" s="490">
        <f t="shared" si="35"/>
        <v>0</v>
      </c>
      <c r="L103" s="491" t="str">
        <f t="shared" si="36"/>
        <v>-</v>
      </c>
      <c r="M103" s="699"/>
      <c r="N103" s="493"/>
    </row>
    <row r="104" spans="1:14" ht="19.5" customHeight="1" x14ac:dyDescent="0.2">
      <c r="A104" s="480">
        <v>15300</v>
      </c>
      <c r="B104" s="603" t="s">
        <v>194</v>
      </c>
      <c r="C104" s="604">
        <v>0</v>
      </c>
      <c r="D104" s="605"/>
      <c r="E104" s="604">
        <v>0</v>
      </c>
      <c r="F104" s="605"/>
      <c r="G104" s="689">
        <v>0</v>
      </c>
      <c r="H104" s="606">
        <f t="shared" si="33"/>
        <v>0</v>
      </c>
      <c r="I104" s="463" t="str">
        <f t="shared" si="34"/>
        <v>-</v>
      </c>
      <c r="J104" s="496"/>
      <c r="K104" s="481">
        <f t="shared" si="35"/>
        <v>0</v>
      </c>
      <c r="L104" s="463" t="str">
        <f t="shared" si="36"/>
        <v>-</v>
      </c>
      <c r="M104" s="497"/>
      <c r="N104" s="494"/>
    </row>
    <row r="105" spans="1:14" ht="37.5" customHeight="1" x14ac:dyDescent="0.2">
      <c r="A105" s="498">
        <v>16000</v>
      </c>
      <c r="B105" s="620" t="s">
        <v>324</v>
      </c>
      <c r="C105" s="621">
        <f ca="1">C47-C53</f>
        <v>-1338102</v>
      </c>
      <c r="D105" s="621">
        <f t="shared" ref="D105" si="43">D47-D53</f>
        <v>-1293300</v>
      </c>
      <c r="E105" s="621">
        <f ca="1">E47-E53</f>
        <v>-1338102</v>
      </c>
      <c r="F105" s="621">
        <f t="shared" ref="F105" si="44">F47-F53</f>
        <v>-1293300</v>
      </c>
      <c r="G105" s="622">
        <f ca="1">G47-G53</f>
        <v>-1088687</v>
      </c>
      <c r="H105" s="623">
        <f t="shared" ca="1" si="33"/>
        <v>204613</v>
      </c>
      <c r="I105" s="445">
        <f t="shared" ca="1" si="34"/>
        <v>0.15821000541251062</v>
      </c>
      <c r="J105" s="499"/>
      <c r="K105" s="444">
        <f t="shared" ca="1" si="35"/>
        <v>249415</v>
      </c>
      <c r="L105" s="445">
        <f t="shared" ca="1" si="36"/>
        <v>0.1863946096784849</v>
      </c>
      <c r="M105" s="500"/>
      <c r="N105" s="494"/>
    </row>
    <row r="106" spans="1:14" ht="18.75" customHeight="1" x14ac:dyDescent="0.2">
      <c r="A106" s="439" t="s">
        <v>309</v>
      </c>
      <c r="B106" s="798" t="s">
        <v>197</v>
      </c>
      <c r="C106" s="798"/>
      <c r="D106" s="798"/>
      <c r="E106" s="798"/>
      <c r="F106" s="798"/>
      <c r="G106" s="798"/>
      <c r="H106" s="798"/>
      <c r="I106" s="442" t="str">
        <f t="shared" si="34"/>
        <v>-</v>
      </c>
      <c r="J106" s="501"/>
      <c r="L106" s="442" t="str">
        <f t="shared" si="36"/>
        <v>-</v>
      </c>
      <c r="M106" s="497"/>
      <c r="N106" s="494"/>
    </row>
    <row r="107" spans="1:14" ht="19.5" customHeight="1" x14ac:dyDescent="0.2">
      <c r="A107" s="502">
        <v>17000</v>
      </c>
      <c r="B107" s="624" t="s">
        <v>320</v>
      </c>
      <c r="C107" s="625">
        <f ca="1">C108+C109+C110</f>
        <v>170855.4</v>
      </c>
      <c r="D107" s="625">
        <f t="shared" ref="D107" ca="1" si="45">D108+D109+D110</f>
        <v>168151.62</v>
      </c>
      <c r="E107" s="625">
        <f ca="1">E108+E109+E110</f>
        <v>170855.4</v>
      </c>
      <c r="F107" s="625">
        <f t="shared" ref="F107" ca="1" si="46">F108+F109+F110</f>
        <v>168151.62</v>
      </c>
      <c r="G107" s="626">
        <f ca="1">G108+G109+G110</f>
        <v>168151.61</v>
      </c>
      <c r="H107" s="627">
        <f t="shared" ref="H107:H111" ca="1" si="47">G107-F107</f>
        <v>-1.0000000009313226E-2</v>
      </c>
      <c r="I107" s="445">
        <f t="shared" ca="1" si="34"/>
        <v>-5.9470137779899031E-8</v>
      </c>
      <c r="J107" s="503"/>
      <c r="K107" s="444">
        <f t="shared" ref="K107:K120" ca="1" si="48">G107-E107</f>
        <v>-2703.7900000000081</v>
      </c>
      <c r="L107" s="445">
        <f t="shared" ca="1" si="36"/>
        <v>-1.5825019285313827E-2</v>
      </c>
      <c r="M107" s="500"/>
      <c r="N107" s="494"/>
    </row>
    <row r="108" spans="1:14" ht="56.25" customHeight="1" x14ac:dyDescent="0.2">
      <c r="A108" s="459">
        <v>17100</v>
      </c>
      <c r="B108" s="628" t="s">
        <v>199</v>
      </c>
      <c r="C108" s="590">
        <v>97479</v>
      </c>
      <c r="D108" s="591"/>
      <c r="E108" s="590">
        <v>97479</v>
      </c>
      <c r="F108" s="591"/>
      <c r="G108" s="590"/>
      <c r="H108" s="592">
        <f t="shared" si="47"/>
        <v>0</v>
      </c>
      <c r="I108" s="463" t="str">
        <f t="shared" si="34"/>
        <v>-</v>
      </c>
      <c r="J108" s="501"/>
      <c r="K108" s="462">
        <f t="shared" si="48"/>
        <v>-97479</v>
      </c>
      <c r="L108" s="463">
        <f t="shared" si="36"/>
        <v>-1</v>
      </c>
      <c r="M108" s="666" t="s">
        <v>857</v>
      </c>
      <c r="N108" s="494"/>
    </row>
    <row r="109" spans="1:14" ht="19.5" customHeight="1" x14ac:dyDescent="0.2">
      <c r="A109" s="459">
        <v>17200</v>
      </c>
      <c r="B109" s="628" t="s">
        <v>319</v>
      </c>
      <c r="C109" s="590"/>
      <c r="D109" s="591"/>
      <c r="E109" s="590"/>
      <c r="F109" s="591"/>
      <c r="G109" s="590"/>
      <c r="H109" s="592">
        <f t="shared" si="47"/>
        <v>0</v>
      </c>
      <c r="I109" s="463" t="str">
        <f t="shared" si="34"/>
        <v>-</v>
      </c>
      <c r="J109" s="501"/>
      <c r="K109" s="504">
        <f t="shared" si="48"/>
        <v>0</v>
      </c>
      <c r="L109" s="463" t="str">
        <f t="shared" si="36"/>
        <v>-</v>
      </c>
      <c r="M109" s="497"/>
      <c r="N109" s="494"/>
    </row>
    <row r="110" spans="1:14" ht="33" x14ac:dyDescent="0.2">
      <c r="A110" s="448">
        <v>17300</v>
      </c>
      <c r="B110" s="575" t="s">
        <v>198</v>
      </c>
      <c r="C110" s="569">
        <f ca="1">C111+C114+C117+C120+C123</f>
        <v>73376.399999999994</v>
      </c>
      <c r="D110" s="569">
        <f t="shared" ref="D110" ca="1" si="49">D111+D114+D117+D120+D123</f>
        <v>168151.62</v>
      </c>
      <c r="E110" s="569">
        <f ca="1">E111+E114+E117+E120+E123</f>
        <v>73376.399999999994</v>
      </c>
      <c r="F110" s="569">
        <f t="shared" ref="F110" ca="1" si="50">F111+F114+F117+F120+F123</f>
        <v>168151.62</v>
      </c>
      <c r="G110" s="573">
        <f ca="1">G111+G114+G117+G120+G123</f>
        <v>168151.61</v>
      </c>
      <c r="H110" s="574">
        <f ca="1">G110-F110</f>
        <v>-1.0000000009313226E-2</v>
      </c>
      <c r="I110" s="445">
        <f t="shared" ca="1" si="34"/>
        <v>-5.9470137779899031E-8</v>
      </c>
      <c r="J110" s="505"/>
      <c r="K110" s="444">
        <f t="shared" ca="1" si="48"/>
        <v>94775.209999999992</v>
      </c>
      <c r="L110" s="445">
        <f t="shared" ca="1" si="36"/>
        <v>1.2916306877960761</v>
      </c>
      <c r="M110" s="500"/>
      <c r="N110" s="494"/>
    </row>
    <row r="111" spans="1:14" ht="56.25" customHeight="1" x14ac:dyDescent="0.2">
      <c r="A111" s="506">
        <v>17310</v>
      </c>
      <c r="B111" s="629" t="s">
        <v>767</v>
      </c>
      <c r="C111" s="630">
        <f ca="1">SUM(OFFSET(C114,-1,0):OFFSET(C111,1,0))</f>
        <v>0</v>
      </c>
      <c r="D111" s="631"/>
      <c r="E111" s="630">
        <f ca="1">SUM(OFFSET(E114,-1,0):OFFSET(E111,1,0))</f>
        <v>0</v>
      </c>
      <c r="F111" s="631"/>
      <c r="G111" s="630">
        <f ca="1">SUM(OFFSET(G114,-1,0):OFFSET(G111,1,0))</f>
        <v>0</v>
      </c>
      <c r="H111" s="632">
        <f t="shared" ca="1" si="47"/>
        <v>0</v>
      </c>
      <c r="I111" s="508" t="str">
        <f t="shared" ca="1" si="34"/>
        <v>-</v>
      </c>
      <c r="J111" s="822"/>
      <c r="K111" s="509">
        <f t="shared" ca="1" si="48"/>
        <v>0</v>
      </c>
      <c r="L111" s="508" t="str">
        <f t="shared" ca="1" si="36"/>
        <v>-</v>
      </c>
      <c r="M111" s="810" t="s">
        <v>858</v>
      </c>
      <c r="N111" s="494"/>
    </row>
    <row r="112" spans="1:14" s="492" customFormat="1" x14ac:dyDescent="0.2">
      <c r="A112" s="510"/>
      <c r="B112" s="633"/>
      <c r="C112" s="587"/>
      <c r="D112" s="587"/>
      <c r="E112" s="587"/>
      <c r="F112" s="587"/>
      <c r="G112" s="587"/>
      <c r="H112" s="588"/>
      <c r="I112" s="461" t="str">
        <f t="shared" si="34"/>
        <v>-</v>
      </c>
      <c r="J112" s="823"/>
      <c r="K112" s="460">
        <f t="shared" si="48"/>
        <v>0</v>
      </c>
      <c r="L112" s="461" t="str">
        <f t="shared" si="36"/>
        <v>-</v>
      </c>
      <c r="M112" s="811"/>
      <c r="N112" s="493"/>
    </row>
    <row r="113" spans="1:14" s="492" customFormat="1" x14ac:dyDescent="0.2">
      <c r="A113" s="510"/>
      <c r="B113" s="633"/>
      <c r="C113" s="577"/>
      <c r="D113" s="587"/>
      <c r="E113" s="577"/>
      <c r="F113" s="587"/>
      <c r="G113" s="577"/>
      <c r="H113" s="588">
        <f t="shared" ref="H113:H140" si="51">G113-F113</f>
        <v>0</v>
      </c>
      <c r="I113" s="461" t="str">
        <f t="shared" si="34"/>
        <v>-</v>
      </c>
      <c r="J113" s="823"/>
      <c r="K113" s="460">
        <f t="shared" si="48"/>
        <v>0</v>
      </c>
      <c r="L113" s="461" t="str">
        <f t="shared" si="36"/>
        <v>-</v>
      </c>
      <c r="M113" s="811"/>
      <c r="N113" s="493"/>
    </row>
    <row r="114" spans="1:14" ht="49.5" x14ac:dyDescent="0.2">
      <c r="A114" s="506">
        <v>17320</v>
      </c>
      <c r="B114" s="634" t="s">
        <v>768</v>
      </c>
      <c r="C114" s="630">
        <f ca="1">SUM(OFFSET(C117,-1,0):OFFSET(C114,1,0))</f>
        <v>73376.399999999994</v>
      </c>
      <c r="D114" s="630">
        <f ca="1">SUM(OFFSET(D117,-1,0):OFFSET(D114,1,0))</f>
        <v>168151.62</v>
      </c>
      <c r="E114" s="630">
        <f ca="1">SUM(OFFSET(E117,-1,0):OFFSET(E114,1,0))</f>
        <v>73376.399999999994</v>
      </c>
      <c r="F114" s="630">
        <f ca="1">SUM(OFFSET(F117,-1,0):OFFSET(F114,1,0))</f>
        <v>168151.62</v>
      </c>
      <c r="G114" s="630">
        <f ca="1">SUM(OFFSET(G117,-1,0):OFFSET(G114,1,0))</f>
        <v>168151.61</v>
      </c>
      <c r="H114" s="632">
        <f t="shared" ca="1" si="51"/>
        <v>-1.0000000009313226E-2</v>
      </c>
      <c r="I114" s="508">
        <f t="shared" ca="1" si="34"/>
        <v>-5.9470137779899031E-8</v>
      </c>
      <c r="J114" s="823"/>
      <c r="K114" s="507">
        <f t="shared" ca="1" si="48"/>
        <v>94775.209999999992</v>
      </c>
      <c r="L114" s="508">
        <f t="shared" ca="1" si="36"/>
        <v>1.2916306877960761</v>
      </c>
      <c r="M114" s="811"/>
      <c r="N114" s="494"/>
    </row>
    <row r="115" spans="1:14" s="492" customFormat="1" x14ac:dyDescent="0.2">
      <c r="A115" s="510"/>
      <c r="B115" s="635"/>
      <c r="C115" s="577"/>
      <c r="D115" s="587"/>
      <c r="E115" s="577"/>
      <c r="F115" s="587"/>
      <c r="G115" s="577"/>
      <c r="H115" s="588">
        <f t="shared" si="51"/>
        <v>0</v>
      </c>
      <c r="I115" s="461" t="str">
        <f t="shared" si="34"/>
        <v>-</v>
      </c>
      <c r="J115" s="823"/>
      <c r="K115" s="460">
        <f t="shared" si="48"/>
        <v>0</v>
      </c>
      <c r="L115" s="461" t="str">
        <f t="shared" si="36"/>
        <v>-</v>
      </c>
      <c r="M115" s="811"/>
      <c r="N115" s="493"/>
    </row>
    <row r="116" spans="1:14" s="492" customFormat="1" x14ac:dyDescent="0.2">
      <c r="A116" s="510"/>
      <c r="B116" s="635"/>
      <c r="C116" s="577">
        <v>73376.399999999994</v>
      </c>
      <c r="D116" s="587">
        <v>168151.62</v>
      </c>
      <c r="E116" s="577">
        <v>73376.399999999994</v>
      </c>
      <c r="F116" s="587">
        <v>168151.62</v>
      </c>
      <c r="G116" s="577">
        <v>168151.61</v>
      </c>
      <c r="H116" s="588">
        <f t="shared" si="51"/>
        <v>-1.0000000009313226E-2</v>
      </c>
      <c r="I116" s="461">
        <f t="shared" si="34"/>
        <v>-5.9470137779899031E-8</v>
      </c>
      <c r="J116" s="823"/>
      <c r="K116" s="460">
        <f t="shared" si="48"/>
        <v>94775.209999999992</v>
      </c>
      <c r="L116" s="461">
        <f t="shared" si="36"/>
        <v>1.2916306877960761</v>
      </c>
      <c r="M116" s="811"/>
      <c r="N116" s="493"/>
    </row>
    <row r="117" spans="1:14" ht="49.5" x14ac:dyDescent="0.2">
      <c r="A117" s="511">
        <v>17330</v>
      </c>
      <c r="B117" s="636" t="s">
        <v>769</v>
      </c>
      <c r="C117" s="630">
        <f ca="1">SUM(OFFSET(C120,-1,0):OFFSET(C117,1,0))</f>
        <v>0</v>
      </c>
      <c r="D117" s="631"/>
      <c r="E117" s="630">
        <f ca="1">SUM(OFFSET(E120,-1,0):OFFSET(E117,1,0))</f>
        <v>0</v>
      </c>
      <c r="F117" s="631"/>
      <c r="G117" s="630">
        <f ca="1">SUM(OFFSET(G120,-1,0):OFFSET(G117,1,0))</f>
        <v>0</v>
      </c>
      <c r="H117" s="632">
        <f t="shared" ca="1" si="51"/>
        <v>0</v>
      </c>
      <c r="I117" s="508" t="str">
        <f t="shared" ca="1" si="34"/>
        <v>-</v>
      </c>
      <c r="J117" s="823"/>
      <c r="K117" s="507">
        <f t="shared" ca="1" si="48"/>
        <v>0</v>
      </c>
      <c r="L117" s="508" t="str">
        <f t="shared" ca="1" si="36"/>
        <v>-</v>
      </c>
      <c r="M117" s="811"/>
    </row>
    <row r="118" spans="1:14" s="492" customFormat="1" x14ac:dyDescent="0.2">
      <c r="A118" s="512"/>
      <c r="B118" s="637"/>
      <c r="C118" s="577"/>
      <c r="D118" s="587"/>
      <c r="E118" s="577"/>
      <c r="F118" s="587"/>
      <c r="G118" s="577"/>
      <c r="H118" s="588">
        <f t="shared" si="51"/>
        <v>0</v>
      </c>
      <c r="I118" s="461" t="str">
        <f t="shared" si="34"/>
        <v>-</v>
      </c>
      <c r="J118" s="823"/>
      <c r="K118" s="460">
        <f t="shared" si="48"/>
        <v>0</v>
      </c>
      <c r="L118" s="461" t="str">
        <f t="shared" si="36"/>
        <v>-</v>
      </c>
      <c r="M118" s="811"/>
    </row>
    <row r="119" spans="1:14" s="492" customFormat="1" x14ac:dyDescent="0.2">
      <c r="A119" s="512"/>
      <c r="B119" s="637"/>
      <c r="C119" s="577"/>
      <c r="D119" s="587"/>
      <c r="E119" s="577"/>
      <c r="F119" s="587"/>
      <c r="G119" s="577"/>
      <c r="H119" s="588">
        <f t="shared" si="51"/>
        <v>0</v>
      </c>
      <c r="I119" s="461" t="str">
        <f t="shared" si="34"/>
        <v>-</v>
      </c>
      <c r="J119" s="823"/>
      <c r="K119" s="460">
        <f t="shared" si="48"/>
        <v>0</v>
      </c>
      <c r="L119" s="461" t="str">
        <f t="shared" si="36"/>
        <v>-</v>
      </c>
      <c r="M119" s="811"/>
    </row>
    <row r="120" spans="1:14" ht="49.5" x14ac:dyDescent="0.2">
      <c r="A120" s="511">
        <v>17340</v>
      </c>
      <c r="B120" s="636" t="s">
        <v>770</v>
      </c>
      <c r="C120" s="630">
        <f ca="1">SUM(OFFSET(C123,-1,0):OFFSET(C120,1,0))</f>
        <v>0</v>
      </c>
      <c r="D120" s="631"/>
      <c r="E120" s="630">
        <f ca="1">SUM(OFFSET(E123,-1,0):OFFSET(E120,1,0))</f>
        <v>0</v>
      </c>
      <c r="F120" s="631"/>
      <c r="G120" s="630">
        <f ca="1">SUM(OFFSET(G123,-1,0):OFFSET(G120,1,0))</f>
        <v>0</v>
      </c>
      <c r="H120" s="632">
        <f t="shared" ca="1" si="51"/>
        <v>0</v>
      </c>
      <c r="I120" s="508" t="str">
        <f t="shared" ca="1" si="34"/>
        <v>-</v>
      </c>
      <c r="J120" s="823"/>
      <c r="K120" s="507">
        <f t="shared" ca="1" si="48"/>
        <v>0</v>
      </c>
      <c r="L120" s="508" t="str">
        <f t="shared" ca="1" si="36"/>
        <v>-</v>
      </c>
      <c r="M120" s="811"/>
    </row>
    <row r="121" spans="1:14" s="492" customFormat="1" x14ac:dyDescent="0.2">
      <c r="A121" s="512"/>
      <c r="B121" s="637"/>
      <c r="C121" s="587"/>
      <c r="D121" s="587"/>
      <c r="E121" s="587"/>
      <c r="F121" s="587"/>
      <c r="G121" s="587"/>
      <c r="H121" s="588">
        <f t="shared" si="51"/>
        <v>0</v>
      </c>
      <c r="I121" s="461" t="str">
        <f t="shared" si="34"/>
        <v>-</v>
      </c>
      <c r="J121" s="823"/>
      <c r="K121" s="460"/>
      <c r="L121" s="461" t="str">
        <f t="shared" si="36"/>
        <v>-</v>
      </c>
      <c r="M121" s="811"/>
    </row>
    <row r="122" spans="1:14" s="492" customFormat="1" x14ac:dyDescent="0.2">
      <c r="A122" s="512"/>
      <c r="B122" s="637"/>
      <c r="C122" s="577"/>
      <c r="D122" s="587"/>
      <c r="E122" s="577"/>
      <c r="F122" s="587"/>
      <c r="G122" s="577"/>
      <c r="H122" s="588">
        <f t="shared" si="51"/>
        <v>0</v>
      </c>
      <c r="I122" s="461" t="str">
        <f t="shared" si="34"/>
        <v>-</v>
      </c>
      <c r="J122" s="823"/>
      <c r="K122" s="460">
        <f t="shared" ref="K122:K139" si="52">G122-E122</f>
        <v>0</v>
      </c>
      <c r="L122" s="461" t="str">
        <f t="shared" si="36"/>
        <v>-</v>
      </c>
      <c r="M122" s="811"/>
    </row>
    <row r="123" spans="1:14" ht="33" x14ac:dyDescent="0.2">
      <c r="A123" s="506">
        <v>17350</v>
      </c>
      <c r="B123" s="638" t="s">
        <v>771</v>
      </c>
      <c r="C123" s="630">
        <f ca="1">SUM(OFFSET(C126,-1,0):OFFSET(C123,1,0))</f>
        <v>0</v>
      </c>
      <c r="D123" s="631"/>
      <c r="E123" s="630">
        <f ca="1">SUM(OFFSET(E126,-1,0):OFFSET(E123,1,0))</f>
        <v>0</v>
      </c>
      <c r="F123" s="631"/>
      <c r="G123" s="630">
        <f ca="1">SUM(OFFSET(G126,-1,0):OFFSET(G123,1,0))</f>
        <v>0</v>
      </c>
      <c r="H123" s="632">
        <f t="shared" ca="1" si="51"/>
        <v>0</v>
      </c>
      <c r="I123" s="508" t="str">
        <f t="shared" ca="1" si="34"/>
        <v>-</v>
      </c>
      <c r="J123" s="823"/>
      <c r="K123" s="507">
        <f t="shared" ca="1" si="52"/>
        <v>0</v>
      </c>
      <c r="L123" s="508" t="str">
        <f t="shared" ca="1" si="36"/>
        <v>-</v>
      </c>
      <c r="M123" s="811"/>
    </row>
    <row r="124" spans="1:14" s="492" customFormat="1" x14ac:dyDescent="0.2">
      <c r="A124" s="510"/>
      <c r="B124" s="639"/>
      <c r="C124" s="577"/>
      <c r="D124" s="587"/>
      <c r="E124" s="577"/>
      <c r="F124" s="587"/>
      <c r="G124" s="577"/>
      <c r="H124" s="588">
        <f t="shared" si="51"/>
        <v>0</v>
      </c>
      <c r="I124" s="461" t="str">
        <f t="shared" si="34"/>
        <v>-</v>
      </c>
      <c r="J124" s="823"/>
      <c r="K124" s="460">
        <f t="shared" si="52"/>
        <v>0</v>
      </c>
      <c r="L124" s="461" t="str">
        <f t="shared" si="36"/>
        <v>-</v>
      </c>
      <c r="M124" s="811"/>
    </row>
    <row r="125" spans="1:14" s="492" customFormat="1" x14ac:dyDescent="0.2">
      <c r="A125" s="510"/>
      <c r="B125" s="639"/>
      <c r="C125" s="577"/>
      <c r="D125" s="587"/>
      <c r="E125" s="577"/>
      <c r="F125" s="587"/>
      <c r="G125" s="577"/>
      <c r="H125" s="588">
        <f t="shared" si="51"/>
        <v>0</v>
      </c>
      <c r="I125" s="461" t="str">
        <f t="shared" si="34"/>
        <v>-</v>
      </c>
      <c r="J125" s="824"/>
      <c r="K125" s="460">
        <f t="shared" si="52"/>
        <v>0</v>
      </c>
      <c r="L125" s="461" t="str">
        <f t="shared" si="36"/>
        <v>-</v>
      </c>
      <c r="M125" s="812"/>
    </row>
    <row r="126" spans="1:14" ht="19.5" customHeight="1" x14ac:dyDescent="0.2">
      <c r="A126" s="513">
        <v>18000</v>
      </c>
      <c r="B126" s="640" t="s">
        <v>321</v>
      </c>
      <c r="C126" s="573">
        <f>C127+C128+C129</f>
        <v>0</v>
      </c>
      <c r="D126" s="573">
        <f t="shared" ref="D126:G126" si="53">D127+D128+D129</f>
        <v>0</v>
      </c>
      <c r="E126" s="573">
        <f>E127+E128+E129</f>
        <v>0</v>
      </c>
      <c r="F126" s="573">
        <f t="shared" ref="F126" si="54">F127+F128+F129</f>
        <v>0</v>
      </c>
      <c r="G126" s="573">
        <f t="shared" si="53"/>
        <v>0</v>
      </c>
      <c r="H126" s="574">
        <f t="shared" si="51"/>
        <v>0</v>
      </c>
      <c r="I126" s="445" t="str">
        <f t="shared" si="34"/>
        <v>-</v>
      </c>
      <c r="J126" s="499"/>
      <c r="K126" s="444">
        <f t="shared" si="52"/>
        <v>0</v>
      </c>
      <c r="L126" s="445" t="str">
        <f t="shared" si="36"/>
        <v>-</v>
      </c>
      <c r="M126" s="500"/>
    </row>
    <row r="127" spans="1:14" ht="19.5" customHeight="1" x14ac:dyDescent="0.2">
      <c r="A127" s="514">
        <v>18100</v>
      </c>
      <c r="B127" s="589" t="s">
        <v>322</v>
      </c>
      <c r="C127" s="590"/>
      <c r="D127" s="591"/>
      <c r="E127" s="590"/>
      <c r="F127" s="591"/>
      <c r="G127" s="590"/>
      <c r="H127" s="592">
        <f t="shared" si="51"/>
        <v>0</v>
      </c>
      <c r="I127" s="463" t="str">
        <f t="shared" si="34"/>
        <v>-</v>
      </c>
      <c r="J127" s="501"/>
      <c r="K127" s="462">
        <f t="shared" si="52"/>
        <v>0</v>
      </c>
      <c r="L127" s="463" t="str">
        <f t="shared" si="36"/>
        <v>-</v>
      </c>
      <c r="M127" s="497"/>
    </row>
    <row r="128" spans="1:14" ht="37.5" customHeight="1" x14ac:dyDescent="0.2">
      <c r="A128" s="514">
        <v>18200</v>
      </c>
      <c r="B128" s="589" t="s">
        <v>200</v>
      </c>
      <c r="C128" s="590"/>
      <c r="D128" s="591"/>
      <c r="E128" s="590"/>
      <c r="F128" s="591"/>
      <c r="G128" s="590"/>
      <c r="H128" s="592">
        <f t="shared" si="51"/>
        <v>0</v>
      </c>
      <c r="I128" s="463" t="str">
        <f t="shared" si="34"/>
        <v>-</v>
      </c>
      <c r="J128" s="501"/>
      <c r="K128" s="462">
        <f t="shared" si="52"/>
        <v>0</v>
      </c>
      <c r="L128" s="463" t="str">
        <f t="shared" si="36"/>
        <v>-</v>
      </c>
      <c r="M128" s="497"/>
    </row>
    <row r="129" spans="1:13" ht="19.5" customHeight="1" x14ac:dyDescent="0.2">
      <c r="A129" s="514">
        <v>18300</v>
      </c>
      <c r="B129" s="589" t="s">
        <v>201</v>
      </c>
      <c r="C129" s="590"/>
      <c r="D129" s="591"/>
      <c r="E129" s="590"/>
      <c r="F129" s="591"/>
      <c r="G129" s="590"/>
      <c r="H129" s="592">
        <f t="shared" si="51"/>
        <v>0</v>
      </c>
      <c r="I129" s="463" t="str">
        <f t="shared" si="34"/>
        <v>-</v>
      </c>
      <c r="J129" s="501"/>
      <c r="K129" s="462">
        <f t="shared" si="52"/>
        <v>0</v>
      </c>
      <c r="L129" s="463" t="str">
        <f t="shared" si="36"/>
        <v>-</v>
      </c>
      <c r="M129" s="497"/>
    </row>
    <row r="130" spans="1:13" ht="37.5" customHeight="1" x14ac:dyDescent="0.2">
      <c r="A130" s="443">
        <v>19000</v>
      </c>
      <c r="B130" s="641" t="s">
        <v>323</v>
      </c>
      <c r="C130" s="569">
        <f ca="1">C107-C126</f>
        <v>170855.4</v>
      </c>
      <c r="D130" s="569">
        <f t="shared" ref="D130" ca="1" si="55">D107-D126</f>
        <v>168151.62</v>
      </c>
      <c r="E130" s="569">
        <f ca="1">E107-E126</f>
        <v>170855.4</v>
      </c>
      <c r="F130" s="569">
        <f t="shared" ref="F130" ca="1" si="56">F107-F126</f>
        <v>168151.62</v>
      </c>
      <c r="G130" s="573">
        <f ca="1">G107-G126</f>
        <v>168151.61</v>
      </c>
      <c r="H130" s="574">
        <f t="shared" ca="1" si="51"/>
        <v>-1.0000000009313226E-2</v>
      </c>
      <c r="I130" s="445">
        <f t="shared" ca="1" si="34"/>
        <v>-5.9470137779899031E-8</v>
      </c>
      <c r="J130" s="499"/>
      <c r="K130" s="444">
        <f t="shared" ca="1" si="52"/>
        <v>-2703.7900000000081</v>
      </c>
      <c r="L130" s="445">
        <f t="shared" ca="1" si="36"/>
        <v>-1.5825019285313827E-2</v>
      </c>
      <c r="M130" s="500"/>
    </row>
    <row r="131" spans="1:13" ht="37.5" customHeight="1" x14ac:dyDescent="0.2">
      <c r="A131" s="459">
        <v>20100</v>
      </c>
      <c r="B131" s="642" t="s">
        <v>202</v>
      </c>
      <c r="C131" s="590"/>
      <c r="D131" s="591"/>
      <c r="E131" s="590"/>
      <c r="F131" s="591"/>
      <c r="G131" s="590"/>
      <c r="H131" s="592">
        <f t="shared" si="51"/>
        <v>0</v>
      </c>
      <c r="I131" s="463" t="str">
        <f t="shared" si="34"/>
        <v>-</v>
      </c>
      <c r="J131" s="501"/>
      <c r="K131" s="462">
        <f t="shared" si="52"/>
        <v>0</v>
      </c>
      <c r="L131" s="463" t="str">
        <f t="shared" si="36"/>
        <v>-</v>
      </c>
      <c r="M131" s="497"/>
    </row>
    <row r="132" spans="1:13" ht="37.5" customHeight="1" x14ac:dyDescent="0.2">
      <c r="A132" s="459">
        <v>20200</v>
      </c>
      <c r="B132" s="642" t="s">
        <v>203</v>
      </c>
      <c r="C132" s="590"/>
      <c r="D132" s="591"/>
      <c r="E132" s="590"/>
      <c r="F132" s="591"/>
      <c r="G132" s="590"/>
      <c r="H132" s="592">
        <f t="shared" si="51"/>
        <v>0</v>
      </c>
      <c r="I132" s="463" t="str">
        <f t="shared" si="34"/>
        <v>-</v>
      </c>
      <c r="J132" s="501"/>
      <c r="K132" s="462">
        <f t="shared" si="52"/>
        <v>0</v>
      </c>
      <c r="L132" s="463" t="str">
        <f t="shared" si="36"/>
        <v>-</v>
      </c>
      <c r="M132" s="497"/>
    </row>
    <row r="133" spans="1:13" ht="37.5" customHeight="1" x14ac:dyDescent="0.2">
      <c r="A133" s="435">
        <v>21000</v>
      </c>
      <c r="B133" s="575" t="s">
        <v>204</v>
      </c>
      <c r="C133" s="594">
        <f ca="1">C3+C45+C105+C130+C131+C132</f>
        <v>707277.83999999391</v>
      </c>
      <c r="D133" s="594">
        <f ca="1">D3+D45+D105+D130+D131+D132</f>
        <v>380961.89505574515</v>
      </c>
      <c r="E133" s="594">
        <f ca="1">E3+E45+E105+E130+E131+E132</f>
        <v>707277.83999999391</v>
      </c>
      <c r="F133" s="594">
        <f ca="1">F3+F45+F105+F130+F131+F132</f>
        <v>380961.89505574538</v>
      </c>
      <c r="G133" s="571">
        <f ca="1">G3+G45+G105+G130+G131+G132</f>
        <v>327785.28999999736</v>
      </c>
      <c r="H133" s="572">
        <f t="shared" ca="1" si="51"/>
        <v>-53176.605055748019</v>
      </c>
      <c r="I133" s="437">
        <f t="shared" ref="I133:I140" ca="1" si="57">IFERROR(H133/ABS(F133), "-")</f>
        <v>-0.13958510220022607</v>
      </c>
      <c r="J133" s="800" t="s">
        <v>852</v>
      </c>
      <c r="K133" s="436">
        <f t="shared" ca="1" si="52"/>
        <v>-379492.54999999655</v>
      </c>
      <c r="L133" s="437">
        <f t="shared" ref="L133:L140" ca="1" si="58">IFERROR(K133/ABS(E133), "-")</f>
        <v>-0.53655371133923813</v>
      </c>
      <c r="M133" s="795" t="s">
        <v>859</v>
      </c>
    </row>
    <row r="134" spans="1:13" ht="19.5" customHeight="1" x14ac:dyDescent="0.2">
      <c r="A134" s="514">
        <v>21100</v>
      </c>
      <c r="B134" s="642" t="s">
        <v>205</v>
      </c>
      <c r="C134" s="590"/>
      <c r="D134" s="591"/>
      <c r="E134" s="590"/>
      <c r="F134" s="591"/>
      <c r="G134" s="590"/>
      <c r="H134" s="592">
        <f t="shared" si="51"/>
        <v>0</v>
      </c>
      <c r="I134" s="463" t="str">
        <f t="shared" si="57"/>
        <v>-</v>
      </c>
      <c r="J134" s="800"/>
      <c r="K134" s="462">
        <f t="shared" si="52"/>
        <v>0</v>
      </c>
      <c r="L134" s="463" t="str">
        <f t="shared" si="58"/>
        <v>-</v>
      </c>
      <c r="M134" s="796"/>
    </row>
    <row r="135" spans="1:13" ht="19.5" customHeight="1" x14ac:dyDescent="0.2">
      <c r="A135" s="514">
        <v>21200</v>
      </c>
      <c r="B135" s="642" t="s">
        <v>206</v>
      </c>
      <c r="C135" s="590">
        <v>88812.73</v>
      </c>
      <c r="D135" s="591"/>
      <c r="E135" s="590">
        <v>88812.73</v>
      </c>
      <c r="F135" s="591"/>
      <c r="G135" s="590">
        <v>168152.34</v>
      </c>
      <c r="H135" s="592">
        <f t="shared" si="51"/>
        <v>168152.34</v>
      </c>
      <c r="I135" s="463" t="str">
        <f t="shared" si="57"/>
        <v>-</v>
      </c>
      <c r="J135" s="800"/>
      <c r="K135" s="462">
        <f t="shared" si="52"/>
        <v>79339.61</v>
      </c>
      <c r="L135" s="463">
        <f t="shared" si="58"/>
        <v>0.89333601162806286</v>
      </c>
      <c r="M135" s="796"/>
    </row>
    <row r="136" spans="1:13" ht="17.25" customHeight="1" x14ac:dyDescent="0.2">
      <c r="A136" s="514">
        <v>21300</v>
      </c>
      <c r="B136" s="642" t="s">
        <v>207</v>
      </c>
      <c r="C136" s="590"/>
      <c r="D136" s="591"/>
      <c r="E136" s="590"/>
      <c r="F136" s="591"/>
      <c r="G136" s="590"/>
      <c r="H136" s="592">
        <f t="shared" si="51"/>
        <v>0</v>
      </c>
      <c r="I136" s="463" t="str">
        <f t="shared" si="57"/>
        <v>-</v>
      </c>
      <c r="J136" s="800"/>
      <c r="K136" s="462">
        <f t="shared" si="52"/>
        <v>0</v>
      </c>
      <c r="L136" s="463" t="str">
        <f t="shared" si="58"/>
        <v>-</v>
      </c>
      <c r="M136" s="796"/>
    </row>
    <row r="137" spans="1:13" ht="19.5" customHeight="1" x14ac:dyDescent="0.2">
      <c r="A137" s="514">
        <v>21400</v>
      </c>
      <c r="B137" s="642" t="s">
        <v>208</v>
      </c>
      <c r="C137" s="590">
        <v>1168.01</v>
      </c>
      <c r="D137" s="591">
        <v>1168.01</v>
      </c>
      <c r="E137" s="590">
        <v>1168.01</v>
      </c>
      <c r="F137" s="591">
        <v>1168.01</v>
      </c>
      <c r="G137" s="590">
        <v>1168.01</v>
      </c>
      <c r="H137" s="592">
        <f t="shared" si="51"/>
        <v>0</v>
      </c>
      <c r="I137" s="463">
        <f t="shared" si="57"/>
        <v>0</v>
      </c>
      <c r="J137" s="800"/>
      <c r="K137" s="462">
        <f t="shared" si="52"/>
        <v>0</v>
      </c>
      <c r="L137" s="463">
        <f t="shared" si="58"/>
        <v>0</v>
      </c>
      <c r="M137" s="796"/>
    </row>
    <row r="138" spans="1:13" ht="19.5" customHeight="1" x14ac:dyDescent="0.2">
      <c r="A138" s="514">
        <v>21500</v>
      </c>
      <c r="B138" s="642" t="s">
        <v>209</v>
      </c>
      <c r="C138" s="590">
        <f>616492.31+805.31</f>
        <v>617297.62000000011</v>
      </c>
      <c r="D138" s="591">
        <f ca="1">D133-D137</f>
        <v>379793.88505574514</v>
      </c>
      <c r="E138" s="590">
        <f>616492.31+805.31</f>
        <v>617297.62000000011</v>
      </c>
      <c r="F138" s="591">
        <f ca="1">F133-F137</f>
        <v>379793.88505574537</v>
      </c>
      <c r="G138" s="590">
        <f>157000.76-5093.42+6557</f>
        <v>158464.34</v>
      </c>
      <c r="H138" s="592">
        <f t="shared" ca="1" si="51"/>
        <v>-221329.54505574537</v>
      </c>
      <c r="I138" s="463">
        <f t="shared" ca="1" si="57"/>
        <v>-0.58276226596765524</v>
      </c>
      <c r="J138" s="800"/>
      <c r="K138" s="462">
        <f t="shared" si="52"/>
        <v>-458833.28000000014</v>
      </c>
      <c r="L138" s="463">
        <f t="shared" si="58"/>
        <v>-0.7432934538124415</v>
      </c>
      <c r="M138" s="796"/>
    </row>
    <row r="139" spans="1:13" ht="19.5" customHeight="1" x14ac:dyDescent="0.2">
      <c r="A139" s="514">
        <v>21600</v>
      </c>
      <c r="B139" s="642" t="s">
        <v>210</v>
      </c>
      <c r="C139" s="590"/>
      <c r="D139" s="591"/>
      <c r="E139" s="590"/>
      <c r="F139" s="591"/>
      <c r="G139" s="590"/>
      <c r="H139" s="592">
        <f t="shared" si="51"/>
        <v>0</v>
      </c>
      <c r="I139" s="463" t="str">
        <f t="shared" si="57"/>
        <v>-</v>
      </c>
      <c r="J139" s="800"/>
      <c r="K139" s="462">
        <f t="shared" si="52"/>
        <v>0</v>
      </c>
      <c r="L139" s="463" t="str">
        <f t="shared" si="58"/>
        <v>-</v>
      </c>
      <c r="M139" s="796"/>
    </row>
    <row r="140" spans="1:13" ht="99" customHeight="1" x14ac:dyDescent="0.2">
      <c r="A140" s="514">
        <v>21700</v>
      </c>
      <c r="B140" s="642" t="s">
        <v>211</v>
      </c>
      <c r="C140" s="590"/>
      <c r="D140" s="591"/>
      <c r="E140" s="590"/>
      <c r="F140" s="591"/>
      <c r="G140" s="590"/>
      <c r="H140" s="592">
        <f t="shared" si="51"/>
        <v>0</v>
      </c>
      <c r="I140" s="463" t="str">
        <f t="shared" si="57"/>
        <v>-</v>
      </c>
      <c r="J140" s="800"/>
      <c r="K140" s="462">
        <f>G140-E140</f>
        <v>0</v>
      </c>
      <c r="L140" s="463" t="str">
        <f t="shared" si="58"/>
        <v>-</v>
      </c>
      <c r="M140" s="797"/>
    </row>
    <row r="141" spans="1:13" ht="17.25" x14ac:dyDescent="0.2">
      <c r="A141" s="515"/>
      <c r="B141" s="516"/>
      <c r="C141" s="517"/>
      <c r="E141" s="531"/>
      <c r="G141" s="531"/>
      <c r="H141" s="518"/>
      <c r="I141" s="519"/>
      <c r="J141" s="520"/>
      <c r="K141" s="518"/>
      <c r="L141" s="519"/>
      <c r="M141" s="521"/>
    </row>
    <row r="142" spans="1:13" ht="17.25" x14ac:dyDescent="0.2">
      <c r="A142" s="522" t="s">
        <v>544</v>
      </c>
      <c r="B142" s="516"/>
      <c r="E142" s="532"/>
      <c r="F142" s="530"/>
      <c r="G142" s="532"/>
      <c r="H142" s="518"/>
      <c r="I142" s="519"/>
      <c r="J142" s="520"/>
      <c r="K142" s="518"/>
      <c r="L142" s="519"/>
      <c r="M142" s="521"/>
    </row>
    <row r="143" spans="1:13" ht="37.5" customHeight="1" x14ac:dyDescent="0.2">
      <c r="A143" s="799" t="s">
        <v>535</v>
      </c>
      <c r="B143" s="799"/>
      <c r="C143" s="799"/>
      <c r="D143" s="799"/>
      <c r="E143" s="799"/>
      <c r="F143" s="799"/>
      <c r="G143" s="799"/>
      <c r="H143" s="799"/>
      <c r="J143" s="520"/>
      <c r="M143" s="521"/>
    </row>
    <row r="144" spans="1:13" ht="19.5" x14ac:dyDescent="0.2">
      <c r="A144" s="524" t="s">
        <v>757</v>
      </c>
      <c r="C144" s="433"/>
      <c r="J144" s="520"/>
      <c r="M144" s="521"/>
    </row>
    <row r="145" spans="1:13" x14ac:dyDescent="0.2">
      <c r="A145" s="447" t="s">
        <v>604</v>
      </c>
      <c r="C145" s="433"/>
      <c r="J145" s="520"/>
      <c r="M145" s="521"/>
    </row>
    <row r="146" spans="1:13" ht="18.75" customHeight="1" x14ac:dyDescent="0.2">
      <c r="C146" s="433"/>
      <c r="M146" s="521"/>
    </row>
    <row r="147" spans="1:13" ht="18.75" customHeight="1" x14ac:dyDescent="0.2">
      <c r="M147" s="521"/>
    </row>
    <row r="148" spans="1:13" ht="18.75" customHeight="1" x14ac:dyDescent="0.2">
      <c r="M148" s="521"/>
    </row>
    <row r="149" spans="1:13" ht="99" customHeight="1" x14ac:dyDescent="0.2"/>
    <row r="150" spans="1:13" x14ac:dyDescent="0.2">
      <c r="M150" s="521"/>
    </row>
    <row r="152" spans="1:13" x14ac:dyDescent="0.2">
      <c r="M152" s="521"/>
    </row>
    <row r="153" spans="1:13" x14ac:dyDescent="0.2">
      <c r="M153" s="521"/>
    </row>
    <row r="154" spans="1:13" x14ac:dyDescent="0.2">
      <c r="M154" s="521"/>
    </row>
    <row r="155" spans="1:13" x14ac:dyDescent="0.2">
      <c r="M155" s="521"/>
    </row>
    <row r="156" spans="1:13" x14ac:dyDescent="0.2">
      <c r="M156" s="521"/>
    </row>
    <row r="157" spans="1:13" x14ac:dyDescent="0.2">
      <c r="M157" s="521"/>
    </row>
  </sheetData>
  <sheetProtection formatColumns="0" formatRows="0" insertRows="0" deleteRows="0"/>
  <mergeCells count="24">
    <mergeCell ref="M111:M125"/>
    <mergeCell ref="M56:M71"/>
    <mergeCell ref="J72:J87"/>
    <mergeCell ref="J111:J125"/>
    <mergeCell ref="J56:J67"/>
    <mergeCell ref="M72:M88"/>
    <mergeCell ref="J89:J103"/>
    <mergeCell ref="M89:M95"/>
    <mergeCell ref="M133:M140"/>
    <mergeCell ref="B4:H4"/>
    <mergeCell ref="B46:H46"/>
    <mergeCell ref="B106:H106"/>
    <mergeCell ref="A143:H143"/>
    <mergeCell ref="J133:J140"/>
    <mergeCell ref="J12:J14"/>
    <mergeCell ref="J24:J26"/>
    <mergeCell ref="M12:M14"/>
    <mergeCell ref="J15:J17"/>
    <mergeCell ref="M15:M17"/>
    <mergeCell ref="M18:M22"/>
    <mergeCell ref="J18:J22"/>
    <mergeCell ref="M24:M26"/>
    <mergeCell ref="J27:J30"/>
    <mergeCell ref="M27:M30"/>
  </mergeCells>
  <pageMargins left="0.70866141732283472" right="0.70866141732283472" top="0.15748031496062992" bottom="0.15748031496062992" header="0.31496062992125984" footer="0.31496062992125984"/>
  <pageSetup paperSize="9" fitToHeight="2" orientation="landscape" r:id="rId1"/>
  <headerFooter>
    <oddHeader xml:space="preserve">&amp;C&amp;"Times New Roman,Bold"&amp;14
Naudas plūsma&amp;R&amp;"Times New Roman,Regular"&amp;14 4.pielikums
</oddHeader>
    <oddFooter>&amp;C&amp;"Times New Roman,Regular"&amp;12&amp;F&amp;R&amp;"Times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5">
    <tabColor rgb="FF92D050"/>
    <pageSetUpPr fitToPage="1"/>
  </sheetPr>
  <dimension ref="A1:O107"/>
  <sheetViews>
    <sheetView topLeftCell="A23" zoomScale="80" zoomScaleNormal="80" zoomScalePageLayoutView="40" workbookViewId="0">
      <selection activeCell="I87" sqref="I87"/>
    </sheetView>
  </sheetViews>
  <sheetFormatPr defaultRowHeight="18.75" x14ac:dyDescent="0.2"/>
  <cols>
    <col min="1" max="1" width="9.5703125" style="12" customWidth="1"/>
    <col min="2" max="2" width="50.28515625" style="12" customWidth="1"/>
    <col min="3" max="3" width="12.7109375" style="12" customWidth="1"/>
    <col min="4" max="4" width="16.85546875" style="12" bestFit="1" customWidth="1"/>
    <col min="5" max="5" width="20.5703125" style="12" customWidth="1"/>
    <col min="6" max="6" width="16.42578125" style="357" customWidth="1"/>
    <col min="7" max="7" width="20.5703125" style="12" customWidth="1"/>
    <col min="8" max="8" width="22.5703125" style="12" customWidth="1"/>
    <col min="9" max="9" width="19.28515625" style="44" customWidth="1"/>
    <col min="10" max="10" width="37.28515625" style="44" customWidth="1"/>
    <col min="11" max="11" width="27" style="44" customWidth="1"/>
    <col min="12" max="12" width="22.85546875" style="12" customWidth="1"/>
    <col min="13" max="13" width="57.5703125" style="12" customWidth="1"/>
    <col min="14" max="16" width="9.140625" style="12" customWidth="1"/>
    <col min="17" max="16384" width="9.140625" style="12"/>
  </cols>
  <sheetData>
    <row r="1" spans="1:15" ht="131.25" x14ac:dyDescent="0.2">
      <c r="A1" s="10" t="s">
        <v>0</v>
      </c>
      <c r="B1" s="11" t="s">
        <v>281</v>
      </c>
      <c r="C1" s="1" t="s">
        <v>681</v>
      </c>
      <c r="D1" s="1" t="s">
        <v>682</v>
      </c>
      <c r="E1" s="1" t="s">
        <v>780</v>
      </c>
      <c r="F1" s="1" t="s">
        <v>777</v>
      </c>
      <c r="G1" s="1" t="s">
        <v>779</v>
      </c>
      <c r="H1" s="7" t="s">
        <v>683</v>
      </c>
      <c r="I1" s="7" t="s">
        <v>684</v>
      </c>
      <c r="J1" s="46" t="s">
        <v>606</v>
      </c>
      <c r="K1" s="7" t="s">
        <v>685</v>
      </c>
      <c r="L1" s="7" t="s">
        <v>686</v>
      </c>
      <c r="M1" s="358" t="s">
        <v>606</v>
      </c>
      <c r="N1" s="359"/>
    </row>
    <row r="2" spans="1:15" x14ac:dyDescent="0.2">
      <c r="A2" s="8">
        <v>1</v>
      </c>
      <c r="B2" s="1">
        <v>2</v>
      </c>
      <c r="C2" s="102">
        <v>3</v>
      </c>
      <c r="D2" s="102">
        <v>4</v>
      </c>
      <c r="E2" s="8">
        <v>5</v>
      </c>
      <c r="F2" s="1">
        <v>6</v>
      </c>
      <c r="G2" s="102">
        <v>7</v>
      </c>
      <c r="H2" s="102">
        <v>8</v>
      </c>
      <c r="I2" s="8">
        <v>9</v>
      </c>
      <c r="J2" s="1">
        <v>10</v>
      </c>
      <c r="K2" s="102">
        <v>11</v>
      </c>
      <c r="L2" s="102">
        <v>12</v>
      </c>
      <c r="M2" s="8">
        <v>13</v>
      </c>
    </row>
    <row r="3" spans="1:15" ht="19.5" x14ac:dyDescent="0.2">
      <c r="A3" s="15" t="s">
        <v>280</v>
      </c>
      <c r="B3" s="16" t="s">
        <v>467</v>
      </c>
      <c r="C3" s="17" t="s">
        <v>215</v>
      </c>
      <c r="D3" s="17" t="s">
        <v>215</v>
      </c>
      <c r="E3" s="17" t="s">
        <v>215</v>
      </c>
      <c r="F3" s="17" t="s">
        <v>215</v>
      </c>
      <c r="G3" s="17" t="s">
        <v>215</v>
      </c>
      <c r="H3" s="17" t="s">
        <v>215</v>
      </c>
      <c r="I3" s="18" t="s">
        <v>215</v>
      </c>
      <c r="J3" s="18" t="s">
        <v>215</v>
      </c>
      <c r="K3" s="19" t="s">
        <v>215</v>
      </c>
      <c r="L3" s="19" t="s">
        <v>215</v>
      </c>
      <c r="M3" s="19" t="s">
        <v>215</v>
      </c>
    </row>
    <row r="4" spans="1:15" ht="75" x14ac:dyDescent="0.2">
      <c r="A4" s="20" t="s">
        <v>279</v>
      </c>
      <c r="B4" s="21" t="s">
        <v>468</v>
      </c>
      <c r="C4" s="22" t="s">
        <v>215</v>
      </c>
      <c r="D4" s="22" t="s">
        <v>215</v>
      </c>
      <c r="E4" s="22" t="s">
        <v>215</v>
      </c>
      <c r="F4" s="22" t="s">
        <v>215</v>
      </c>
      <c r="G4" s="22" t="s">
        <v>215</v>
      </c>
      <c r="H4" s="22" t="s">
        <v>215</v>
      </c>
      <c r="I4" s="23" t="s">
        <v>215</v>
      </c>
      <c r="J4" s="23" t="s">
        <v>215</v>
      </c>
      <c r="K4" s="23" t="s">
        <v>215</v>
      </c>
      <c r="L4" s="23" t="s">
        <v>215</v>
      </c>
      <c r="M4" s="23" t="s">
        <v>215</v>
      </c>
    </row>
    <row r="5" spans="1:15" ht="122.25" customHeight="1" x14ac:dyDescent="0.2">
      <c r="A5" s="24" t="s">
        <v>278</v>
      </c>
      <c r="B5" s="141" t="s">
        <v>469</v>
      </c>
      <c r="C5" s="142">
        <v>25395</v>
      </c>
      <c r="D5" s="228">
        <v>26013</v>
      </c>
      <c r="E5" s="142">
        <v>25395</v>
      </c>
      <c r="F5" s="228">
        <v>26013</v>
      </c>
      <c r="G5" s="142">
        <v>27752</v>
      </c>
      <c r="H5" s="143">
        <f>G5-F5</f>
        <v>1739</v>
      </c>
      <c r="I5" s="51">
        <f>IFERROR(H5/ABS(F5), "-")</f>
        <v>6.685118978972053E-2</v>
      </c>
      <c r="J5" s="168"/>
      <c r="K5" s="58">
        <f>G5-E5</f>
        <v>2357</v>
      </c>
      <c r="L5" s="59">
        <f>IFERROR(K5/ABS(E5), "-")</f>
        <v>9.2813545973616851E-2</v>
      </c>
      <c r="M5" s="168"/>
      <c r="O5" s="1"/>
    </row>
    <row r="6" spans="1:15" ht="56.25" x14ac:dyDescent="0.2">
      <c r="A6" s="24" t="s">
        <v>277</v>
      </c>
      <c r="B6" s="144" t="s">
        <v>641</v>
      </c>
      <c r="C6" s="6">
        <v>21821</v>
      </c>
      <c r="D6" s="348">
        <v>22259</v>
      </c>
      <c r="E6" s="6">
        <v>21821</v>
      </c>
      <c r="F6" s="348">
        <v>22259</v>
      </c>
      <c r="G6" s="6">
        <v>24030</v>
      </c>
      <c r="H6" s="58">
        <f t="shared" ref="H6:H14" si="0">G6-F6</f>
        <v>1771</v>
      </c>
      <c r="I6" s="51">
        <f t="shared" ref="I6:I14" si="1">IFERROR(H6/ABS(F6), "-")</f>
        <v>7.9563322700929959E-2</v>
      </c>
      <c r="J6" s="168"/>
      <c r="K6" s="58">
        <f t="shared" ref="K6:K14" si="2">G6-E6</f>
        <v>2209</v>
      </c>
      <c r="L6" s="59">
        <f t="shared" ref="L6:L14" si="3">IFERROR(K6/ABS(E6), "-")</f>
        <v>0.10123275743549791</v>
      </c>
      <c r="M6" s="135" t="s">
        <v>736</v>
      </c>
    </row>
    <row r="7" spans="1:15" ht="37.5" x14ac:dyDescent="0.2">
      <c r="A7" s="24" t="s">
        <v>276</v>
      </c>
      <c r="B7" s="144" t="s">
        <v>642</v>
      </c>
      <c r="C7" s="6">
        <v>3574</v>
      </c>
      <c r="D7" s="75">
        <v>3754</v>
      </c>
      <c r="E7" s="6">
        <v>3574</v>
      </c>
      <c r="F7" s="75">
        <v>3754</v>
      </c>
      <c r="G7" s="77">
        <v>3722</v>
      </c>
      <c r="H7" s="58">
        <f t="shared" si="0"/>
        <v>-32</v>
      </c>
      <c r="I7" s="51">
        <f t="shared" si="1"/>
        <v>-8.5242408098028764E-3</v>
      </c>
      <c r="J7" s="168"/>
      <c r="K7" s="58">
        <f t="shared" si="2"/>
        <v>148</v>
      </c>
      <c r="L7" s="59">
        <f t="shared" si="3"/>
        <v>4.1410184667039732E-2</v>
      </c>
      <c r="M7" s="168"/>
    </row>
    <row r="8" spans="1:15" ht="56.25" x14ac:dyDescent="0.2">
      <c r="A8" s="24" t="s">
        <v>275</v>
      </c>
      <c r="B8" s="144" t="s">
        <v>643</v>
      </c>
      <c r="C8" s="142"/>
      <c r="D8" s="10"/>
      <c r="E8" s="142"/>
      <c r="F8" s="10"/>
      <c r="G8" s="390"/>
      <c r="H8" s="143">
        <f t="shared" si="0"/>
        <v>0</v>
      </c>
      <c r="I8" s="51" t="str">
        <f t="shared" si="1"/>
        <v>-</v>
      </c>
      <c r="J8" s="134"/>
      <c r="K8" s="58">
        <f t="shared" si="2"/>
        <v>0</v>
      </c>
      <c r="L8" s="59" t="str">
        <f t="shared" si="3"/>
        <v>-</v>
      </c>
      <c r="M8" s="47"/>
    </row>
    <row r="9" spans="1:15" ht="56.25" x14ac:dyDescent="0.2">
      <c r="A9" s="145" t="s">
        <v>274</v>
      </c>
      <c r="B9" s="146" t="s">
        <v>470</v>
      </c>
      <c r="C9" s="6"/>
      <c r="D9" s="75"/>
      <c r="E9" s="6"/>
      <c r="F9" s="75"/>
      <c r="G9" s="391"/>
      <c r="H9" s="58">
        <f t="shared" si="0"/>
        <v>0</v>
      </c>
      <c r="I9" s="51" t="str">
        <f t="shared" si="1"/>
        <v>-</v>
      </c>
      <c r="J9" s="134"/>
      <c r="K9" s="58">
        <f t="shared" si="2"/>
        <v>0</v>
      </c>
      <c r="L9" s="59" t="str">
        <f t="shared" si="3"/>
        <v>-</v>
      </c>
      <c r="M9" s="47"/>
    </row>
    <row r="10" spans="1:15" ht="37.5" x14ac:dyDescent="0.2">
      <c r="A10" s="145" t="s">
        <v>273</v>
      </c>
      <c r="B10" s="146" t="s">
        <v>471</v>
      </c>
      <c r="C10" s="6"/>
      <c r="D10" s="75"/>
      <c r="E10" s="6"/>
      <c r="F10" s="75"/>
      <c r="G10" s="391"/>
      <c r="H10" s="58">
        <f t="shared" si="0"/>
        <v>0</v>
      </c>
      <c r="I10" s="51" t="str">
        <f t="shared" si="1"/>
        <v>-</v>
      </c>
      <c r="J10" s="134"/>
      <c r="K10" s="58">
        <f t="shared" si="2"/>
        <v>0</v>
      </c>
      <c r="L10" s="59" t="str">
        <f t="shared" si="3"/>
        <v>-</v>
      </c>
      <c r="M10" s="47"/>
    </row>
    <row r="11" spans="1:15" ht="37.5" x14ac:dyDescent="0.2">
      <c r="A11" s="145" t="s">
        <v>472</v>
      </c>
      <c r="B11" s="147" t="s">
        <v>473</v>
      </c>
      <c r="C11" s="148">
        <v>3574</v>
      </c>
      <c r="D11" s="349">
        <v>3754</v>
      </c>
      <c r="E11" s="148">
        <v>3574</v>
      </c>
      <c r="F11" s="349">
        <v>3754</v>
      </c>
      <c r="G11" s="148">
        <v>3722</v>
      </c>
      <c r="H11" s="149">
        <f t="shared" si="0"/>
        <v>-32</v>
      </c>
      <c r="I11" s="51">
        <f t="shared" si="1"/>
        <v>-8.5242408098028764E-3</v>
      </c>
      <c r="J11" s="168"/>
      <c r="K11" s="150">
        <f t="shared" si="2"/>
        <v>148</v>
      </c>
      <c r="L11" s="151">
        <f>IFERROR(K11/ABS(E11), "-")</f>
        <v>4.1410184667039732E-2</v>
      </c>
      <c r="M11" s="168"/>
    </row>
    <row r="12" spans="1:15" ht="56.25" x14ac:dyDescent="0.2">
      <c r="A12" s="145" t="s">
        <v>474</v>
      </c>
      <c r="B12" s="147" t="s">
        <v>526</v>
      </c>
      <c r="C12" s="346">
        <f t="shared" ref="C12:D12" si="4">C7/C5</f>
        <v>0.14073636542626503</v>
      </c>
      <c r="D12" s="346">
        <f t="shared" si="4"/>
        <v>0.14431245915503788</v>
      </c>
      <c r="E12" s="346">
        <f t="shared" ref="E12:F12" si="5">E7/E5</f>
        <v>0.14073636542626503</v>
      </c>
      <c r="F12" s="346">
        <f t="shared" si="5"/>
        <v>0.14431245915503788</v>
      </c>
      <c r="G12" s="392">
        <v>0.1341</v>
      </c>
      <c r="H12" s="61">
        <f t="shared" si="0"/>
        <v>-1.0212459155037878E-2</v>
      </c>
      <c r="I12" s="51">
        <f t="shared" si="1"/>
        <v>-7.0766302610548837E-2</v>
      </c>
      <c r="J12" s="168"/>
      <c r="K12" s="150">
        <f t="shared" si="2"/>
        <v>-6.6363654262650285E-3</v>
      </c>
      <c r="L12" s="151">
        <f>IFERROR(K12/ABS(E12), "-")</f>
        <v>-4.7154588696138887E-2</v>
      </c>
      <c r="M12" s="168"/>
    </row>
    <row r="13" spans="1:15" x14ac:dyDescent="0.2">
      <c r="A13" s="145" t="s">
        <v>475</v>
      </c>
      <c r="B13" s="147" t="s">
        <v>644</v>
      </c>
      <c r="C13" s="152"/>
      <c r="D13" s="350"/>
      <c r="E13" s="152"/>
      <c r="F13" s="350"/>
      <c r="G13" s="152"/>
      <c r="H13" s="150">
        <f t="shared" si="0"/>
        <v>0</v>
      </c>
      <c r="I13" s="51" t="str">
        <f t="shared" si="1"/>
        <v>-</v>
      </c>
      <c r="J13" s="134"/>
      <c r="K13" s="150">
        <f t="shared" si="2"/>
        <v>0</v>
      </c>
      <c r="L13" s="151" t="str">
        <f t="shared" si="3"/>
        <v>-</v>
      </c>
      <c r="M13" s="138"/>
    </row>
    <row r="14" spans="1:15" ht="56.25" x14ac:dyDescent="0.2">
      <c r="A14" s="145" t="s">
        <v>476</v>
      </c>
      <c r="B14" s="147" t="s">
        <v>477</v>
      </c>
      <c r="C14" s="53">
        <v>0</v>
      </c>
      <c r="D14" s="346"/>
      <c r="E14" s="53">
        <v>0</v>
      </c>
      <c r="F14" s="346"/>
      <c r="G14" s="53"/>
      <c r="H14" s="61">
        <f t="shared" si="0"/>
        <v>0</v>
      </c>
      <c r="I14" s="51" t="str">
        <f t="shared" si="1"/>
        <v>-</v>
      </c>
      <c r="J14" s="134"/>
      <c r="K14" s="150">
        <f t="shared" si="2"/>
        <v>0</v>
      </c>
      <c r="L14" s="151" t="str">
        <f t="shared" si="3"/>
        <v>-</v>
      </c>
      <c r="M14" s="138"/>
    </row>
    <row r="15" spans="1:15" ht="19.5" x14ac:dyDescent="0.2">
      <c r="A15" s="20" t="s">
        <v>272</v>
      </c>
      <c r="B15" s="153" t="s">
        <v>478</v>
      </c>
      <c r="C15" s="17" t="s">
        <v>215</v>
      </c>
      <c r="D15" s="17" t="s">
        <v>215</v>
      </c>
      <c r="E15" s="17" t="s">
        <v>215</v>
      </c>
      <c r="F15" s="17" t="s">
        <v>215</v>
      </c>
      <c r="G15" s="17" t="s">
        <v>215</v>
      </c>
      <c r="H15" s="22" t="s">
        <v>215</v>
      </c>
      <c r="I15" s="136" t="s">
        <v>215</v>
      </c>
      <c r="J15" s="136" t="s">
        <v>215</v>
      </c>
      <c r="K15" s="136" t="s">
        <v>215</v>
      </c>
      <c r="L15" s="136" t="s">
        <v>215</v>
      </c>
      <c r="M15" s="136" t="s">
        <v>215</v>
      </c>
    </row>
    <row r="16" spans="1:15" x14ac:dyDescent="0.2">
      <c r="A16" s="154" t="s">
        <v>271</v>
      </c>
      <c r="B16" s="155" t="s">
        <v>270</v>
      </c>
      <c r="C16" s="347">
        <v>214</v>
      </c>
      <c r="D16" s="2">
        <v>220</v>
      </c>
      <c r="E16" s="347">
        <v>214</v>
      </c>
      <c r="F16" s="2">
        <v>220</v>
      </c>
      <c r="G16" s="2">
        <v>220</v>
      </c>
      <c r="H16" s="60">
        <f t="shared" ref="H16:H30" si="6">G16-F16</f>
        <v>0</v>
      </c>
      <c r="I16" s="51">
        <f t="shared" ref="I16:I30" si="7">IFERROR(H16/ABS(F16), "-")</f>
        <v>0</v>
      </c>
      <c r="J16" s="134"/>
      <c r="K16" s="60">
        <f t="shared" ref="K16:K30" si="8">G16-E16</f>
        <v>6</v>
      </c>
      <c r="L16" s="59">
        <f t="shared" ref="L16:L30" si="9">IFERROR(K16/ABS(E16), "-")</f>
        <v>2.8037383177570093E-2</v>
      </c>
      <c r="M16" s="48"/>
    </row>
    <row r="17" spans="1:15" ht="72.75" customHeight="1" x14ac:dyDescent="0.2">
      <c r="A17" s="154" t="s">
        <v>347</v>
      </c>
      <c r="B17" s="156" t="s">
        <v>479</v>
      </c>
      <c r="C17" s="2">
        <v>35191</v>
      </c>
      <c r="D17" s="6">
        <v>37303</v>
      </c>
      <c r="E17" s="2">
        <v>35191</v>
      </c>
      <c r="F17" s="6">
        <v>37303</v>
      </c>
      <c r="G17" s="2">
        <v>40713</v>
      </c>
      <c r="H17" s="58">
        <f t="shared" si="6"/>
        <v>3410</v>
      </c>
      <c r="I17" s="51">
        <f t="shared" si="7"/>
        <v>9.1413559231161026E-2</v>
      </c>
      <c r="J17" s="168"/>
      <c r="K17" s="58">
        <f t="shared" si="8"/>
        <v>5522</v>
      </c>
      <c r="L17" s="59">
        <f t="shared" si="9"/>
        <v>0.1569151203432696</v>
      </c>
      <c r="M17" s="135" t="s">
        <v>737</v>
      </c>
    </row>
    <row r="18" spans="1:15" ht="37.5" x14ac:dyDescent="0.2">
      <c r="A18" s="25" t="s">
        <v>282</v>
      </c>
      <c r="B18" s="14" t="s">
        <v>480</v>
      </c>
      <c r="C18" s="3">
        <v>586</v>
      </c>
      <c r="D18" s="3">
        <v>578</v>
      </c>
      <c r="E18" s="3">
        <v>586</v>
      </c>
      <c r="F18" s="3">
        <v>578</v>
      </c>
      <c r="G18" s="3">
        <v>564</v>
      </c>
      <c r="H18" s="65">
        <f t="shared" si="6"/>
        <v>-14</v>
      </c>
      <c r="I18" s="52">
        <f>IFERROR(H18/ABS(F18), "-")</f>
        <v>-2.4221453287197232E-2</v>
      </c>
      <c r="J18" s="655"/>
      <c r="K18" s="65">
        <f>G18-E18</f>
        <v>-22</v>
      </c>
      <c r="L18" s="57">
        <f t="shared" si="9"/>
        <v>-3.7542662116040959E-2</v>
      </c>
      <c r="M18" s="655"/>
    </row>
    <row r="19" spans="1:15" ht="37.5" x14ac:dyDescent="0.2">
      <c r="A19" s="25" t="s">
        <v>283</v>
      </c>
      <c r="B19" s="14" t="s">
        <v>481</v>
      </c>
      <c r="C19" s="3">
        <v>612</v>
      </c>
      <c r="D19" s="3">
        <v>597</v>
      </c>
      <c r="E19" s="3">
        <v>612</v>
      </c>
      <c r="F19" s="3">
        <v>597</v>
      </c>
      <c r="G19" s="3">
        <v>557</v>
      </c>
      <c r="H19" s="65">
        <f t="shared" si="6"/>
        <v>-40</v>
      </c>
      <c r="I19" s="52">
        <f t="shared" si="7"/>
        <v>-6.7001675041876041E-2</v>
      </c>
      <c r="J19" s="655"/>
      <c r="K19" s="65">
        <f t="shared" si="8"/>
        <v>-55</v>
      </c>
      <c r="L19" s="57">
        <f t="shared" si="9"/>
        <v>-8.9869281045751634E-2</v>
      </c>
      <c r="M19" s="655"/>
    </row>
    <row r="20" spans="1:15" ht="37.5" x14ac:dyDescent="0.2">
      <c r="A20" s="154" t="s">
        <v>269</v>
      </c>
      <c r="B20" s="157" t="s">
        <v>645</v>
      </c>
      <c r="C20" s="2">
        <v>6086</v>
      </c>
      <c r="D20" s="6">
        <v>6466</v>
      </c>
      <c r="E20" s="2">
        <v>6086</v>
      </c>
      <c r="F20" s="6">
        <v>6466</v>
      </c>
      <c r="G20" s="2">
        <v>6980</v>
      </c>
      <c r="H20" s="58">
        <f t="shared" si="6"/>
        <v>514</v>
      </c>
      <c r="I20" s="51">
        <f t="shared" si="7"/>
        <v>7.9492731209403034E-2</v>
      </c>
      <c r="J20" s="168"/>
      <c r="K20" s="58">
        <f t="shared" si="8"/>
        <v>894</v>
      </c>
      <c r="L20" s="59">
        <f t="shared" si="9"/>
        <v>0.14689451199474204</v>
      </c>
      <c r="M20" s="135" t="s">
        <v>737</v>
      </c>
    </row>
    <row r="21" spans="1:15" ht="37.5" x14ac:dyDescent="0.2">
      <c r="A21" s="158" t="s">
        <v>345</v>
      </c>
      <c r="B21" s="159" t="s">
        <v>646</v>
      </c>
      <c r="C21" s="2">
        <v>5827</v>
      </c>
      <c r="D21" s="6">
        <v>6189</v>
      </c>
      <c r="E21" s="2">
        <v>5827</v>
      </c>
      <c r="F21" s="6">
        <v>6189</v>
      </c>
      <c r="G21" s="2">
        <v>6658</v>
      </c>
      <c r="H21" s="58">
        <f t="shared" si="6"/>
        <v>469</v>
      </c>
      <c r="I21" s="51">
        <f t="shared" si="7"/>
        <v>7.5779608983680719E-2</v>
      </c>
      <c r="J21" s="168"/>
      <c r="K21" s="58">
        <f t="shared" si="8"/>
        <v>831</v>
      </c>
      <c r="L21" s="59">
        <f t="shared" si="9"/>
        <v>0.14261197871975287</v>
      </c>
      <c r="M21" s="135" t="s">
        <v>737</v>
      </c>
      <c r="O21" s="12" t="s">
        <v>633</v>
      </c>
    </row>
    <row r="22" spans="1:15" ht="56.25" x14ac:dyDescent="0.2">
      <c r="A22" s="154" t="s">
        <v>268</v>
      </c>
      <c r="B22" s="155" t="s">
        <v>647</v>
      </c>
      <c r="C22" s="2">
        <v>2512</v>
      </c>
      <c r="D22" s="6">
        <v>2712</v>
      </c>
      <c r="E22" s="2">
        <v>2512</v>
      </c>
      <c r="F22" s="6">
        <v>2712</v>
      </c>
      <c r="G22" s="2">
        <v>3258</v>
      </c>
      <c r="H22" s="58">
        <f t="shared" si="6"/>
        <v>546</v>
      </c>
      <c r="I22" s="51">
        <f t="shared" si="7"/>
        <v>0.20132743362831859</v>
      </c>
      <c r="J22" s="135" t="s">
        <v>786</v>
      </c>
      <c r="K22" s="58">
        <f t="shared" si="8"/>
        <v>746</v>
      </c>
      <c r="L22" s="59">
        <f t="shared" si="9"/>
        <v>0.29697452229299365</v>
      </c>
      <c r="M22" s="135" t="s">
        <v>737</v>
      </c>
    </row>
    <row r="23" spans="1:15" ht="56.25" x14ac:dyDescent="0.2">
      <c r="A23" s="158" t="s">
        <v>346</v>
      </c>
      <c r="B23" s="159" t="s">
        <v>648</v>
      </c>
      <c r="C23" s="2">
        <v>2275</v>
      </c>
      <c r="D23" s="6">
        <v>2457</v>
      </c>
      <c r="E23" s="2">
        <v>2275</v>
      </c>
      <c r="F23" s="6">
        <v>2457</v>
      </c>
      <c r="G23" s="2">
        <v>2964</v>
      </c>
      <c r="H23" s="58">
        <f t="shared" si="6"/>
        <v>507</v>
      </c>
      <c r="I23" s="51">
        <f t="shared" si="7"/>
        <v>0.20634920634920634</v>
      </c>
      <c r="J23" s="135" t="s">
        <v>786</v>
      </c>
      <c r="K23" s="58">
        <f t="shared" si="8"/>
        <v>689</v>
      </c>
      <c r="L23" s="59">
        <f t="shared" si="9"/>
        <v>0.30285714285714288</v>
      </c>
      <c r="M23" s="135" t="s">
        <v>737</v>
      </c>
    </row>
    <row r="24" spans="1:15" ht="37.5" x14ac:dyDescent="0.2">
      <c r="A24" s="158" t="s">
        <v>482</v>
      </c>
      <c r="B24" s="157" t="s">
        <v>649</v>
      </c>
      <c r="C24" s="2">
        <v>3574</v>
      </c>
      <c r="D24" s="77">
        <v>3754</v>
      </c>
      <c r="E24" s="2">
        <v>3574</v>
      </c>
      <c r="F24" s="77">
        <v>3754</v>
      </c>
      <c r="G24" s="2">
        <v>3722</v>
      </c>
      <c r="H24" s="58">
        <f t="shared" si="6"/>
        <v>-32</v>
      </c>
      <c r="I24" s="51">
        <f t="shared" si="7"/>
        <v>-8.5242408098028764E-3</v>
      </c>
      <c r="J24" s="168"/>
      <c r="K24" s="58">
        <f t="shared" si="8"/>
        <v>148</v>
      </c>
      <c r="L24" s="59">
        <f t="shared" si="9"/>
        <v>4.1410184667039732E-2</v>
      </c>
      <c r="M24" s="168"/>
    </row>
    <row r="25" spans="1:15" ht="37.5" x14ac:dyDescent="0.2">
      <c r="A25" s="158" t="s">
        <v>483</v>
      </c>
      <c r="B25" s="159" t="s">
        <v>650</v>
      </c>
      <c r="C25" s="2">
        <v>3552</v>
      </c>
      <c r="D25" s="6">
        <v>3732</v>
      </c>
      <c r="E25" s="2">
        <v>3552</v>
      </c>
      <c r="F25" s="6">
        <v>3732</v>
      </c>
      <c r="G25" s="2">
        <v>3694</v>
      </c>
      <c r="H25" s="58">
        <f t="shared" si="6"/>
        <v>-38</v>
      </c>
      <c r="I25" s="51">
        <f t="shared" si="7"/>
        <v>-1.0182207931404072E-2</v>
      </c>
      <c r="J25" s="168"/>
      <c r="K25" s="58">
        <f t="shared" si="8"/>
        <v>142</v>
      </c>
      <c r="L25" s="59">
        <f t="shared" si="9"/>
        <v>3.9977477477477479E-2</v>
      </c>
      <c r="M25" s="168"/>
    </row>
    <row r="26" spans="1:15" ht="56.25" x14ac:dyDescent="0.2">
      <c r="A26" s="154" t="s">
        <v>267</v>
      </c>
      <c r="B26" s="147" t="s">
        <v>651</v>
      </c>
      <c r="C26" s="2"/>
      <c r="D26" s="6"/>
      <c r="E26" s="2"/>
      <c r="F26" s="6"/>
      <c r="G26" s="2"/>
      <c r="H26" s="58">
        <f t="shared" si="6"/>
        <v>0</v>
      </c>
      <c r="I26" s="51" t="str">
        <f t="shared" si="7"/>
        <v>-</v>
      </c>
      <c r="J26" s="134"/>
      <c r="K26" s="58">
        <f t="shared" si="8"/>
        <v>0</v>
      </c>
      <c r="L26" s="59" t="str">
        <f t="shared" si="9"/>
        <v>-</v>
      </c>
      <c r="M26" s="47"/>
    </row>
    <row r="27" spans="1:15" ht="132" customHeight="1" x14ac:dyDescent="0.2">
      <c r="A27" s="154" t="s">
        <v>266</v>
      </c>
      <c r="B27" s="147" t="s">
        <v>652</v>
      </c>
      <c r="C27" s="2">
        <v>22</v>
      </c>
      <c r="D27" s="6">
        <v>31</v>
      </c>
      <c r="E27" s="2">
        <v>22</v>
      </c>
      <c r="F27" s="6">
        <v>31</v>
      </c>
      <c r="G27" s="2">
        <v>21</v>
      </c>
      <c r="H27" s="58">
        <f t="shared" si="6"/>
        <v>-10</v>
      </c>
      <c r="I27" s="51">
        <f t="shared" si="7"/>
        <v>-0.32258064516129031</v>
      </c>
      <c r="J27" s="135" t="s">
        <v>759</v>
      </c>
      <c r="K27" s="58">
        <f t="shared" si="8"/>
        <v>-1</v>
      </c>
      <c r="L27" s="59">
        <f t="shared" si="9"/>
        <v>-4.5454545454545456E-2</v>
      </c>
      <c r="M27" s="168"/>
    </row>
    <row r="28" spans="1:15" ht="56.25" x14ac:dyDescent="0.2">
      <c r="A28" s="154" t="s">
        <v>265</v>
      </c>
      <c r="B28" s="147" t="s">
        <v>332</v>
      </c>
      <c r="C28" s="2">
        <v>11662</v>
      </c>
      <c r="D28" s="6">
        <v>12363</v>
      </c>
      <c r="E28" s="2">
        <v>11662</v>
      </c>
      <c r="F28" s="6">
        <v>12363</v>
      </c>
      <c r="G28" s="2">
        <v>13676</v>
      </c>
      <c r="H28" s="58">
        <f t="shared" si="6"/>
        <v>1313</v>
      </c>
      <c r="I28" s="51">
        <f t="shared" si="7"/>
        <v>0.10620399579390116</v>
      </c>
      <c r="J28" s="135" t="s">
        <v>786</v>
      </c>
      <c r="K28" s="58">
        <f t="shared" si="8"/>
        <v>2014</v>
      </c>
      <c r="L28" s="59">
        <f t="shared" si="9"/>
        <v>0.17269765048876692</v>
      </c>
      <c r="M28" s="135" t="s">
        <v>786</v>
      </c>
    </row>
    <row r="29" spans="1:15" ht="37.5" x14ac:dyDescent="0.2">
      <c r="A29" s="25" t="s">
        <v>264</v>
      </c>
      <c r="B29" s="14" t="s">
        <v>333</v>
      </c>
      <c r="C29" s="3">
        <v>5.88</v>
      </c>
      <c r="D29" s="77">
        <v>5.82</v>
      </c>
      <c r="E29" s="3">
        <v>5.88</v>
      </c>
      <c r="F29" s="77">
        <v>5.82</v>
      </c>
      <c r="G29" s="3">
        <v>5.83</v>
      </c>
      <c r="H29" s="56">
        <f t="shared" si="6"/>
        <v>9.9999999999997868E-3</v>
      </c>
      <c r="I29" s="52">
        <f t="shared" si="7"/>
        <v>1.7182130584192073E-3</v>
      </c>
      <c r="J29" s="137"/>
      <c r="K29" s="56">
        <f t="shared" si="8"/>
        <v>-4.9999999999999822E-2</v>
      </c>
      <c r="L29" s="57">
        <f t="shared" si="9"/>
        <v>-8.5034013605441872E-3</v>
      </c>
      <c r="M29" s="139"/>
    </row>
    <row r="30" spans="1:15" ht="37.5" x14ac:dyDescent="0.2">
      <c r="A30" s="25" t="s">
        <v>263</v>
      </c>
      <c r="B30" s="14" t="s">
        <v>527</v>
      </c>
      <c r="C30" s="3">
        <v>45.73</v>
      </c>
      <c r="D30" s="77">
        <v>48.02</v>
      </c>
      <c r="E30" s="3">
        <v>45.73</v>
      </c>
      <c r="F30" s="77">
        <v>48.02</v>
      </c>
      <c r="G30" s="3">
        <v>50.58</v>
      </c>
      <c r="H30" s="56">
        <f t="shared" si="6"/>
        <v>2.5599999999999952</v>
      </c>
      <c r="I30" s="52">
        <f t="shared" si="7"/>
        <v>5.3311120366513851E-2</v>
      </c>
      <c r="J30" s="168"/>
      <c r="K30" s="56">
        <f t="shared" si="8"/>
        <v>4.8500000000000014</v>
      </c>
      <c r="L30" s="57">
        <f t="shared" si="9"/>
        <v>0.10605729280559811</v>
      </c>
      <c r="M30" s="135" t="s">
        <v>737</v>
      </c>
    </row>
    <row r="31" spans="1:15" x14ac:dyDescent="0.2">
      <c r="A31" s="160" t="s">
        <v>262</v>
      </c>
      <c r="B31" s="161" t="s">
        <v>484</v>
      </c>
      <c r="C31" s="17" t="s">
        <v>215</v>
      </c>
      <c r="D31" s="17" t="s">
        <v>215</v>
      </c>
      <c r="E31" s="17" t="s">
        <v>215</v>
      </c>
      <c r="F31" s="17" t="s">
        <v>215</v>
      </c>
      <c r="G31" s="17" t="s">
        <v>215</v>
      </c>
      <c r="H31" s="17" t="s">
        <v>215</v>
      </c>
      <c r="I31" s="17" t="s">
        <v>215</v>
      </c>
      <c r="J31" s="17" t="s">
        <v>215</v>
      </c>
      <c r="K31" s="17" t="s">
        <v>215</v>
      </c>
      <c r="L31" s="17" t="s">
        <v>215</v>
      </c>
      <c r="M31" s="17" t="s">
        <v>215</v>
      </c>
    </row>
    <row r="32" spans="1:15" x14ac:dyDescent="0.2">
      <c r="A32" s="25" t="s">
        <v>260</v>
      </c>
      <c r="B32" s="14" t="s">
        <v>485</v>
      </c>
      <c r="C32" s="162">
        <v>103252</v>
      </c>
      <c r="D32" s="351">
        <v>108417</v>
      </c>
      <c r="E32" s="162">
        <v>103252</v>
      </c>
      <c r="F32" s="351">
        <v>108417</v>
      </c>
      <c r="G32" s="162">
        <v>111754</v>
      </c>
      <c r="H32" s="143">
        <f t="shared" ref="H32:H40" si="10">G32-F32</f>
        <v>3337</v>
      </c>
      <c r="I32" s="51">
        <f t="shared" ref="I32:I40" si="11">IFERROR(H32/ABS(F32), "-")</f>
        <v>3.0779305828421741E-2</v>
      </c>
      <c r="J32" s="168"/>
      <c r="K32" s="58">
        <f t="shared" ref="K32:K40" si="12">G32-E32</f>
        <v>8502</v>
      </c>
      <c r="L32" s="59">
        <f t="shared" ref="L32:L40" si="13">IFERROR(K32/ABS(E32), "-")</f>
        <v>8.2342230658970283E-2</v>
      </c>
      <c r="M32" s="168"/>
    </row>
    <row r="33" spans="1:13" x14ac:dyDescent="0.2">
      <c r="A33" s="154" t="s">
        <v>334</v>
      </c>
      <c r="B33" s="109" t="s">
        <v>486</v>
      </c>
      <c r="C33" s="2">
        <v>84242</v>
      </c>
      <c r="D33" s="204">
        <v>88456</v>
      </c>
      <c r="E33" s="2">
        <v>84242</v>
      </c>
      <c r="F33" s="204">
        <v>88456</v>
      </c>
      <c r="G33" s="2">
        <v>90036</v>
      </c>
      <c r="H33" s="58">
        <f t="shared" si="10"/>
        <v>1580</v>
      </c>
      <c r="I33" s="51">
        <f t="shared" si="11"/>
        <v>1.7861987880980375E-2</v>
      </c>
      <c r="J33" s="168"/>
      <c r="K33" s="58">
        <f t="shared" si="12"/>
        <v>5794</v>
      </c>
      <c r="L33" s="59">
        <f t="shared" si="13"/>
        <v>6.8778044205978009E-2</v>
      </c>
      <c r="M33" s="168"/>
    </row>
    <row r="34" spans="1:13" x14ac:dyDescent="0.2">
      <c r="A34" s="154" t="s">
        <v>335</v>
      </c>
      <c r="B34" s="163" t="s">
        <v>261</v>
      </c>
      <c r="C34" s="2">
        <v>471</v>
      </c>
      <c r="D34" s="204">
        <v>494</v>
      </c>
      <c r="E34" s="2">
        <v>471</v>
      </c>
      <c r="F34" s="204">
        <v>494</v>
      </c>
      <c r="G34" s="2">
        <v>505</v>
      </c>
      <c r="H34" s="58">
        <f t="shared" si="10"/>
        <v>11</v>
      </c>
      <c r="I34" s="51">
        <f t="shared" si="11"/>
        <v>2.2267206477732792E-2</v>
      </c>
      <c r="J34" s="168"/>
      <c r="K34" s="58">
        <f t="shared" si="12"/>
        <v>34</v>
      </c>
      <c r="L34" s="59">
        <f t="shared" si="13"/>
        <v>7.2186836518046707E-2</v>
      </c>
      <c r="M34" s="168"/>
    </row>
    <row r="35" spans="1:13" ht="37.5" x14ac:dyDescent="0.2">
      <c r="A35" s="154" t="s">
        <v>336</v>
      </c>
      <c r="B35" s="109" t="s">
        <v>487</v>
      </c>
      <c r="C35" s="2">
        <v>19010</v>
      </c>
      <c r="D35" s="204">
        <v>19961</v>
      </c>
      <c r="E35" s="2">
        <v>19010</v>
      </c>
      <c r="F35" s="204">
        <v>19961</v>
      </c>
      <c r="G35" s="2">
        <v>21718</v>
      </c>
      <c r="H35" s="58">
        <f t="shared" si="10"/>
        <v>1757</v>
      </c>
      <c r="I35" s="51">
        <f t="shared" si="11"/>
        <v>8.802164220229447E-2</v>
      </c>
      <c r="J35" s="168"/>
      <c r="K35" s="58">
        <f t="shared" si="12"/>
        <v>2708</v>
      </c>
      <c r="L35" s="59">
        <f t="shared" si="13"/>
        <v>0.14245134139926355</v>
      </c>
      <c r="M35" s="135" t="s">
        <v>787</v>
      </c>
    </row>
    <row r="36" spans="1:13" x14ac:dyDescent="0.2">
      <c r="A36" s="154" t="s">
        <v>337</v>
      </c>
      <c r="B36" s="163" t="s">
        <v>261</v>
      </c>
      <c r="C36" s="2">
        <v>0</v>
      </c>
      <c r="D36" s="204">
        <v>0</v>
      </c>
      <c r="E36" s="2">
        <v>0</v>
      </c>
      <c r="F36" s="204">
        <v>0</v>
      </c>
      <c r="G36" s="2">
        <v>0</v>
      </c>
      <c r="H36" s="58">
        <f t="shared" si="10"/>
        <v>0</v>
      </c>
      <c r="I36" s="51" t="str">
        <f t="shared" si="11"/>
        <v>-</v>
      </c>
      <c r="J36" s="134"/>
      <c r="K36" s="58">
        <f t="shared" si="12"/>
        <v>0</v>
      </c>
      <c r="L36" s="59" t="str">
        <f t="shared" si="13"/>
        <v>-</v>
      </c>
      <c r="M36" s="47"/>
    </row>
    <row r="37" spans="1:13" x14ac:dyDescent="0.2">
      <c r="A37" s="154" t="s">
        <v>339</v>
      </c>
      <c r="B37" s="156" t="s">
        <v>344</v>
      </c>
      <c r="C37" s="2"/>
      <c r="D37" s="204"/>
      <c r="E37" s="2"/>
      <c r="F37" s="204"/>
      <c r="G37" s="2"/>
      <c r="H37" s="58">
        <f t="shared" si="10"/>
        <v>0</v>
      </c>
      <c r="I37" s="51" t="str">
        <f t="shared" si="11"/>
        <v>-</v>
      </c>
      <c r="J37" s="134"/>
      <c r="K37" s="58">
        <f t="shared" si="12"/>
        <v>0</v>
      </c>
      <c r="L37" s="59" t="str">
        <f t="shared" si="13"/>
        <v>-</v>
      </c>
      <c r="M37" s="47"/>
    </row>
    <row r="38" spans="1:13" ht="37.5" x14ac:dyDescent="0.2">
      <c r="A38" s="154" t="s">
        <v>340</v>
      </c>
      <c r="B38" s="156" t="s">
        <v>528</v>
      </c>
      <c r="C38" s="2"/>
      <c r="D38" s="204"/>
      <c r="E38" s="2"/>
      <c r="F38" s="204"/>
      <c r="G38" s="2"/>
      <c r="H38" s="58">
        <f t="shared" si="10"/>
        <v>0</v>
      </c>
      <c r="I38" s="51" t="str">
        <f t="shared" si="11"/>
        <v>-</v>
      </c>
      <c r="J38" s="134"/>
      <c r="K38" s="58">
        <f t="shared" si="12"/>
        <v>0</v>
      </c>
      <c r="L38" s="59" t="str">
        <f t="shared" si="13"/>
        <v>-</v>
      </c>
      <c r="M38" s="47"/>
    </row>
    <row r="39" spans="1:13" x14ac:dyDescent="0.2">
      <c r="A39" s="154" t="s">
        <v>338</v>
      </c>
      <c r="B39" s="14" t="s">
        <v>653</v>
      </c>
      <c r="C39" s="2">
        <v>2793</v>
      </c>
      <c r="D39" s="204">
        <v>2933</v>
      </c>
      <c r="E39" s="2">
        <v>2793</v>
      </c>
      <c r="F39" s="204">
        <v>2933</v>
      </c>
      <c r="G39" s="2">
        <v>2848</v>
      </c>
      <c r="H39" s="58">
        <f t="shared" si="10"/>
        <v>-85</v>
      </c>
      <c r="I39" s="51">
        <f t="shared" si="11"/>
        <v>-2.8980565973406067E-2</v>
      </c>
      <c r="J39" s="168"/>
      <c r="K39" s="58">
        <f t="shared" si="12"/>
        <v>55</v>
      </c>
      <c r="L39" s="59">
        <f t="shared" si="13"/>
        <v>1.9692087361260293E-2</v>
      </c>
      <c r="M39" s="139"/>
    </row>
    <row r="40" spans="1:13" ht="75" x14ac:dyDescent="0.2">
      <c r="A40" s="164" t="s">
        <v>355</v>
      </c>
      <c r="B40" s="165" t="s">
        <v>357</v>
      </c>
      <c r="C40" s="2">
        <v>366</v>
      </c>
      <c r="D40" s="204">
        <v>386</v>
      </c>
      <c r="E40" s="2">
        <v>366</v>
      </c>
      <c r="F40" s="204">
        <v>386</v>
      </c>
      <c r="G40" s="2">
        <v>437</v>
      </c>
      <c r="H40" s="58">
        <f t="shared" si="10"/>
        <v>51</v>
      </c>
      <c r="I40" s="166">
        <f t="shared" si="11"/>
        <v>0.13212435233160622</v>
      </c>
      <c r="J40" s="135" t="s">
        <v>760</v>
      </c>
      <c r="K40" s="58">
        <f t="shared" si="12"/>
        <v>71</v>
      </c>
      <c r="L40" s="59">
        <f t="shared" si="13"/>
        <v>0.19398907103825136</v>
      </c>
      <c r="M40" s="135" t="s">
        <v>738</v>
      </c>
    </row>
    <row r="41" spans="1:13" ht="122.25" customHeight="1" x14ac:dyDescent="0.2">
      <c r="A41" s="15" t="s">
        <v>259</v>
      </c>
      <c r="B41" s="26" t="s">
        <v>488</v>
      </c>
      <c r="C41" s="17" t="s">
        <v>215</v>
      </c>
      <c r="D41" s="17"/>
      <c r="E41" s="17" t="s">
        <v>215</v>
      </c>
      <c r="F41" s="17"/>
      <c r="G41" s="17"/>
      <c r="H41" s="17" t="s">
        <v>215</v>
      </c>
      <c r="I41" s="18" t="s">
        <v>215</v>
      </c>
      <c r="J41" s="18" t="s">
        <v>215</v>
      </c>
      <c r="K41" s="18" t="s">
        <v>215</v>
      </c>
      <c r="L41" s="18" t="s">
        <v>215</v>
      </c>
      <c r="M41" s="18" t="s">
        <v>215</v>
      </c>
    </row>
    <row r="42" spans="1:13" x14ac:dyDescent="0.2">
      <c r="A42" s="24" t="s">
        <v>258</v>
      </c>
      <c r="B42" s="27" t="s">
        <v>251</v>
      </c>
      <c r="C42" s="6"/>
      <c r="D42" s="204"/>
      <c r="E42" s="6"/>
      <c r="F42" s="204"/>
      <c r="G42" s="6"/>
      <c r="H42" s="58">
        <f t="shared" ref="H42:H46" si="14">G42-F42</f>
        <v>0</v>
      </c>
      <c r="I42" s="51" t="str">
        <f t="shared" ref="I42:I46" si="15">IFERROR(H42/ABS(F42), "-")</f>
        <v>-</v>
      </c>
      <c r="J42" s="54"/>
      <c r="K42" s="58">
        <f t="shared" ref="K42:K46" si="16">G42-E42</f>
        <v>0</v>
      </c>
      <c r="L42" s="59" t="str">
        <f t="shared" ref="L42:L46" si="17">IFERROR(K42/ABS(E42), "-")</f>
        <v>-</v>
      </c>
      <c r="M42" s="47"/>
    </row>
    <row r="43" spans="1:13" x14ac:dyDescent="0.2">
      <c r="A43" s="24" t="s">
        <v>257</v>
      </c>
      <c r="B43" s="27" t="s">
        <v>505</v>
      </c>
      <c r="C43" s="6"/>
      <c r="D43" s="352"/>
      <c r="E43" s="6"/>
      <c r="F43" s="352"/>
      <c r="G43" s="6"/>
      <c r="H43" s="58">
        <f t="shared" si="14"/>
        <v>0</v>
      </c>
      <c r="I43" s="51" t="str">
        <f t="shared" si="15"/>
        <v>-</v>
      </c>
      <c r="J43" s="54"/>
      <c r="K43" s="58">
        <f t="shared" si="16"/>
        <v>0</v>
      </c>
      <c r="L43" s="59" t="str">
        <f t="shared" si="17"/>
        <v>-</v>
      </c>
      <c r="M43" s="47"/>
    </row>
    <row r="44" spans="1:13" x14ac:dyDescent="0.2">
      <c r="A44" s="24" t="s">
        <v>256</v>
      </c>
      <c r="B44" s="27" t="s">
        <v>506</v>
      </c>
      <c r="C44" s="6"/>
      <c r="D44" s="352"/>
      <c r="E44" s="6"/>
      <c r="F44" s="352"/>
      <c r="G44" s="6"/>
      <c r="H44" s="58">
        <f t="shared" si="14"/>
        <v>0</v>
      </c>
      <c r="I44" s="51" t="str">
        <f t="shared" si="15"/>
        <v>-</v>
      </c>
      <c r="J44" s="54"/>
      <c r="K44" s="58">
        <f t="shared" si="16"/>
        <v>0</v>
      </c>
      <c r="L44" s="59" t="str">
        <f t="shared" si="17"/>
        <v>-</v>
      </c>
      <c r="M44" s="47"/>
    </row>
    <row r="45" spans="1:13" x14ac:dyDescent="0.2">
      <c r="A45" s="24" t="s">
        <v>255</v>
      </c>
      <c r="B45" s="27" t="s">
        <v>247</v>
      </c>
      <c r="C45" s="6"/>
      <c r="D45" s="204"/>
      <c r="E45" s="6"/>
      <c r="F45" s="204"/>
      <c r="G45" s="6"/>
      <c r="H45" s="58">
        <f t="shared" si="14"/>
        <v>0</v>
      </c>
      <c r="I45" s="51" t="str">
        <f t="shared" si="15"/>
        <v>-</v>
      </c>
      <c r="J45" s="54"/>
      <c r="K45" s="58">
        <f t="shared" si="16"/>
        <v>0</v>
      </c>
      <c r="L45" s="59" t="str">
        <f t="shared" si="17"/>
        <v>-</v>
      </c>
      <c r="M45" s="47"/>
    </row>
    <row r="46" spans="1:13" x14ac:dyDescent="0.2">
      <c r="A46" s="24" t="s">
        <v>254</v>
      </c>
      <c r="B46" s="27" t="s">
        <v>507</v>
      </c>
      <c r="C46" s="6"/>
      <c r="D46" s="204"/>
      <c r="E46" s="6"/>
      <c r="F46" s="204"/>
      <c r="G46" s="6"/>
      <c r="H46" s="58">
        <f t="shared" si="14"/>
        <v>0</v>
      </c>
      <c r="I46" s="51" t="str">
        <f t="shared" si="15"/>
        <v>-</v>
      </c>
      <c r="J46" s="54"/>
      <c r="K46" s="58">
        <f t="shared" si="16"/>
        <v>0</v>
      </c>
      <c r="L46" s="59" t="str">
        <f t="shared" si="17"/>
        <v>-</v>
      </c>
      <c r="M46" s="47"/>
    </row>
    <row r="47" spans="1:13" ht="19.5" x14ac:dyDescent="0.2">
      <c r="A47" s="15" t="s">
        <v>253</v>
      </c>
      <c r="B47" s="26" t="s">
        <v>489</v>
      </c>
      <c r="C47" s="17" t="s">
        <v>215</v>
      </c>
      <c r="D47" s="17"/>
      <c r="E47" s="17" t="s">
        <v>215</v>
      </c>
      <c r="F47" s="17"/>
      <c r="G47" s="17"/>
      <c r="H47" s="17" t="s">
        <v>215</v>
      </c>
      <c r="I47" s="18" t="s">
        <v>215</v>
      </c>
      <c r="J47" s="18" t="s">
        <v>215</v>
      </c>
      <c r="K47" s="18" t="s">
        <v>215</v>
      </c>
      <c r="L47" s="18" t="s">
        <v>215</v>
      </c>
      <c r="M47" s="18" t="s">
        <v>215</v>
      </c>
    </row>
    <row r="48" spans="1:13" x14ac:dyDescent="0.2">
      <c r="A48" s="24" t="s">
        <v>252</v>
      </c>
      <c r="B48" s="27" t="s">
        <v>251</v>
      </c>
      <c r="C48" s="6"/>
      <c r="D48" s="204"/>
      <c r="E48" s="6"/>
      <c r="F48" s="204"/>
      <c r="G48" s="6"/>
      <c r="H48" s="58">
        <f t="shared" ref="H48:H52" si="18">G48-F48</f>
        <v>0</v>
      </c>
      <c r="I48" s="51" t="str">
        <f t="shared" ref="I48:I52" si="19">IFERROR(H48/ABS(F48), "-")</f>
        <v>-</v>
      </c>
      <c r="J48" s="54"/>
      <c r="K48" s="58">
        <f t="shared" ref="K48:K52" si="20">G48-E48</f>
        <v>0</v>
      </c>
      <c r="L48" s="59" t="str">
        <f t="shared" ref="L48:L52" si="21">IFERROR(K48/ABS(E48), "-")</f>
        <v>-</v>
      </c>
      <c r="M48" s="47"/>
    </row>
    <row r="49" spans="1:13" x14ac:dyDescent="0.2">
      <c r="A49" s="24" t="s">
        <v>250</v>
      </c>
      <c r="B49" s="27" t="s">
        <v>505</v>
      </c>
      <c r="C49" s="6"/>
      <c r="D49" s="352"/>
      <c r="E49" s="6"/>
      <c r="F49" s="352"/>
      <c r="G49" s="6"/>
      <c r="H49" s="58">
        <f t="shared" si="18"/>
        <v>0</v>
      </c>
      <c r="I49" s="51" t="str">
        <f t="shared" si="19"/>
        <v>-</v>
      </c>
      <c r="J49" s="54"/>
      <c r="K49" s="58">
        <f t="shared" si="20"/>
        <v>0</v>
      </c>
      <c r="L49" s="59" t="str">
        <f t="shared" si="21"/>
        <v>-</v>
      </c>
      <c r="M49" s="47"/>
    </row>
    <row r="50" spans="1:13" x14ac:dyDescent="0.2">
      <c r="A50" s="24" t="s">
        <v>249</v>
      </c>
      <c r="B50" s="27" t="s">
        <v>506</v>
      </c>
      <c r="C50" s="6"/>
      <c r="D50" s="352"/>
      <c r="E50" s="6"/>
      <c r="F50" s="352"/>
      <c r="G50" s="6"/>
      <c r="H50" s="58">
        <f t="shared" si="18"/>
        <v>0</v>
      </c>
      <c r="I50" s="51" t="str">
        <f t="shared" si="19"/>
        <v>-</v>
      </c>
      <c r="J50" s="54"/>
      <c r="K50" s="58">
        <f t="shared" si="20"/>
        <v>0</v>
      </c>
      <c r="L50" s="59" t="str">
        <f t="shared" si="21"/>
        <v>-</v>
      </c>
      <c r="M50" s="47"/>
    </row>
    <row r="51" spans="1:13" x14ac:dyDescent="0.2">
      <c r="A51" s="24" t="s">
        <v>248</v>
      </c>
      <c r="B51" s="27" t="s">
        <v>247</v>
      </c>
      <c r="C51" s="6"/>
      <c r="D51" s="204"/>
      <c r="E51" s="6"/>
      <c r="F51" s="204"/>
      <c r="G51" s="6"/>
      <c r="H51" s="58">
        <f t="shared" si="18"/>
        <v>0</v>
      </c>
      <c r="I51" s="51" t="str">
        <f t="shared" si="19"/>
        <v>-</v>
      </c>
      <c r="J51" s="54"/>
      <c r="K51" s="58">
        <f t="shared" si="20"/>
        <v>0</v>
      </c>
      <c r="L51" s="59" t="str">
        <f t="shared" si="21"/>
        <v>-</v>
      </c>
      <c r="M51" s="47"/>
    </row>
    <row r="52" spans="1:13" x14ac:dyDescent="0.2">
      <c r="A52" s="24" t="s">
        <v>246</v>
      </c>
      <c r="B52" s="27" t="s">
        <v>507</v>
      </c>
      <c r="C52" s="6"/>
      <c r="D52" s="204"/>
      <c r="E52" s="6"/>
      <c r="F52" s="204"/>
      <c r="G52" s="6"/>
      <c r="H52" s="58">
        <f t="shared" si="18"/>
        <v>0</v>
      </c>
      <c r="I52" s="51" t="str">
        <f t="shared" si="19"/>
        <v>-</v>
      </c>
      <c r="J52" s="54"/>
      <c r="K52" s="58">
        <f t="shared" si="20"/>
        <v>0</v>
      </c>
      <c r="L52" s="59" t="str">
        <f t="shared" si="21"/>
        <v>-</v>
      </c>
      <c r="M52" s="47"/>
    </row>
    <row r="53" spans="1:13" ht="72.75" customHeight="1" x14ac:dyDescent="0.2">
      <c r="A53" s="15" t="s">
        <v>245</v>
      </c>
      <c r="B53" s="172" t="s">
        <v>490</v>
      </c>
      <c r="C53" s="17" t="s">
        <v>215</v>
      </c>
      <c r="D53" s="17" t="s">
        <v>215</v>
      </c>
      <c r="E53" s="17" t="s">
        <v>215</v>
      </c>
      <c r="F53" s="17" t="s">
        <v>215</v>
      </c>
      <c r="G53" s="17"/>
      <c r="H53" s="17" t="s">
        <v>215</v>
      </c>
      <c r="I53" s="18" t="s">
        <v>215</v>
      </c>
      <c r="J53" s="18" t="s">
        <v>215</v>
      </c>
      <c r="K53" s="18" t="s">
        <v>215</v>
      </c>
      <c r="L53" s="18" t="s">
        <v>215</v>
      </c>
      <c r="M53" s="18" t="s">
        <v>215</v>
      </c>
    </row>
    <row r="54" spans="1:13" ht="19.5" x14ac:dyDescent="0.2">
      <c r="A54" s="28" t="s">
        <v>244</v>
      </c>
      <c r="B54" s="29" t="s">
        <v>243</v>
      </c>
      <c r="C54" s="73">
        <v>577</v>
      </c>
      <c r="D54" s="353">
        <v>585</v>
      </c>
      <c r="E54" s="73">
        <v>577</v>
      </c>
      <c r="F54" s="353">
        <v>585</v>
      </c>
      <c r="G54" s="73">
        <v>605</v>
      </c>
      <c r="H54" s="74">
        <f t="shared" ref="H54:H77" si="22">G54-F54</f>
        <v>20</v>
      </c>
      <c r="I54" s="173">
        <f t="shared" ref="I54:I77" si="23">IFERROR(H54/ABS(F54), "-")</f>
        <v>3.4188034188034191E-2</v>
      </c>
      <c r="J54" s="133"/>
      <c r="K54" s="45">
        <f t="shared" ref="K54:K77" si="24">G54-E54</f>
        <v>28</v>
      </c>
      <c r="L54" s="174">
        <f t="shared" ref="L54:L77" si="25">IFERROR(K54/ABS(E54), "-")</f>
        <v>4.852686308492201E-2</v>
      </c>
      <c r="M54" s="50"/>
    </row>
    <row r="55" spans="1:13" ht="22.5" x14ac:dyDescent="0.2">
      <c r="A55" s="154" t="s">
        <v>242</v>
      </c>
      <c r="B55" s="175" t="s">
        <v>508</v>
      </c>
      <c r="C55" s="2">
        <v>111</v>
      </c>
      <c r="D55" s="354">
        <v>112</v>
      </c>
      <c r="E55" s="2">
        <v>111</v>
      </c>
      <c r="F55" s="354">
        <v>112</v>
      </c>
      <c r="G55" s="3">
        <v>119</v>
      </c>
      <c r="H55" s="60">
        <f t="shared" si="22"/>
        <v>7</v>
      </c>
      <c r="I55" s="51">
        <f t="shared" si="23"/>
        <v>6.25E-2</v>
      </c>
      <c r="J55" s="134"/>
      <c r="K55" s="60">
        <f t="shared" si="24"/>
        <v>8</v>
      </c>
      <c r="L55" s="59">
        <f t="shared" si="25"/>
        <v>7.2072072072072071E-2</v>
      </c>
      <c r="M55" s="275"/>
    </row>
    <row r="56" spans="1:13" ht="22.5" x14ac:dyDescent="0.2">
      <c r="A56" s="154" t="s">
        <v>241</v>
      </c>
      <c r="B56" s="175" t="s">
        <v>509</v>
      </c>
      <c r="C56" s="6">
        <v>195</v>
      </c>
      <c r="D56" s="355">
        <v>197</v>
      </c>
      <c r="E56" s="6">
        <v>195</v>
      </c>
      <c r="F56" s="355">
        <v>197</v>
      </c>
      <c r="G56" s="77">
        <v>199</v>
      </c>
      <c r="H56" s="58">
        <f t="shared" si="22"/>
        <v>2</v>
      </c>
      <c r="I56" s="51">
        <f t="shared" si="23"/>
        <v>1.015228426395939E-2</v>
      </c>
      <c r="J56" s="134"/>
      <c r="K56" s="58">
        <f t="shared" si="24"/>
        <v>4</v>
      </c>
      <c r="L56" s="59">
        <f t="shared" si="25"/>
        <v>2.0512820512820513E-2</v>
      </c>
      <c r="M56" s="49"/>
    </row>
    <row r="57" spans="1:13" ht="41.25" x14ac:dyDescent="0.2">
      <c r="A57" s="154" t="s">
        <v>240</v>
      </c>
      <c r="B57" s="176" t="s">
        <v>510</v>
      </c>
      <c r="C57" s="6">
        <v>45</v>
      </c>
      <c r="D57" s="355">
        <v>46</v>
      </c>
      <c r="E57" s="6">
        <v>45</v>
      </c>
      <c r="F57" s="355">
        <v>46</v>
      </c>
      <c r="G57" s="77">
        <v>46</v>
      </c>
      <c r="H57" s="58">
        <f t="shared" si="22"/>
        <v>0</v>
      </c>
      <c r="I57" s="51">
        <f t="shared" si="23"/>
        <v>0</v>
      </c>
      <c r="J57" s="134"/>
      <c r="K57" s="58">
        <f t="shared" si="24"/>
        <v>1</v>
      </c>
      <c r="L57" s="59">
        <f t="shared" si="25"/>
        <v>2.2222222222222223E-2</v>
      </c>
      <c r="M57" s="139"/>
    </row>
    <row r="58" spans="1:13" ht="22.5" x14ac:dyDescent="0.2">
      <c r="A58" s="154" t="s">
        <v>239</v>
      </c>
      <c r="B58" s="176" t="s">
        <v>511</v>
      </c>
      <c r="C58" s="6">
        <v>35</v>
      </c>
      <c r="D58" s="355">
        <v>36</v>
      </c>
      <c r="E58" s="6">
        <v>35</v>
      </c>
      <c r="F58" s="355">
        <v>36</v>
      </c>
      <c r="G58" s="77">
        <v>37</v>
      </c>
      <c r="H58" s="58">
        <f t="shared" si="22"/>
        <v>1</v>
      </c>
      <c r="I58" s="51">
        <f t="shared" si="23"/>
        <v>2.7777777777777776E-2</v>
      </c>
      <c r="J58" s="178"/>
      <c r="K58" s="58">
        <f t="shared" si="24"/>
        <v>2</v>
      </c>
      <c r="L58" s="59">
        <f t="shared" si="25"/>
        <v>5.7142857142857141E-2</v>
      </c>
      <c r="M58" s="178"/>
    </row>
    <row r="59" spans="1:13" ht="22.5" x14ac:dyDescent="0.2">
      <c r="A59" s="154" t="s">
        <v>238</v>
      </c>
      <c r="B59" s="176" t="s">
        <v>512</v>
      </c>
      <c r="C59" s="6">
        <v>191</v>
      </c>
      <c r="D59" s="355">
        <v>194</v>
      </c>
      <c r="E59" s="6">
        <v>191</v>
      </c>
      <c r="F59" s="355">
        <v>194</v>
      </c>
      <c r="G59" s="77">
        <v>204</v>
      </c>
      <c r="H59" s="58">
        <f t="shared" si="22"/>
        <v>10</v>
      </c>
      <c r="I59" s="51">
        <f t="shared" si="23"/>
        <v>5.1546391752577317E-2</v>
      </c>
      <c r="J59" s="134"/>
      <c r="K59" s="58">
        <f t="shared" si="24"/>
        <v>13</v>
      </c>
      <c r="L59" s="59">
        <f t="shared" si="25"/>
        <v>6.8062827225130892E-2</v>
      </c>
      <c r="M59" s="47"/>
    </row>
    <row r="60" spans="1:13" ht="37.5" x14ac:dyDescent="0.2">
      <c r="A60" s="28" t="s">
        <v>237</v>
      </c>
      <c r="B60" s="177" t="s">
        <v>236</v>
      </c>
      <c r="C60" s="73">
        <v>1715.43</v>
      </c>
      <c r="D60" s="353">
        <v>1708</v>
      </c>
      <c r="E60" s="73">
        <v>1715.43</v>
      </c>
      <c r="F60" s="353">
        <v>1708</v>
      </c>
      <c r="G60" s="73">
        <v>1618</v>
      </c>
      <c r="H60" s="74">
        <f>G60-F60</f>
        <v>-90</v>
      </c>
      <c r="I60" s="173">
        <f t="shared" si="23"/>
        <v>-5.2693208430913352E-2</v>
      </c>
      <c r="J60" s="133"/>
      <c r="K60" s="45">
        <f t="shared" si="24"/>
        <v>-97.430000000000064</v>
      </c>
      <c r="L60" s="174">
        <f>IFERROR(K60/ABS(E60), "-")</f>
        <v>-5.6796255166343165E-2</v>
      </c>
      <c r="M60" s="50"/>
    </row>
    <row r="61" spans="1:13" ht="22.5" x14ac:dyDescent="0.2">
      <c r="A61" s="154" t="s">
        <v>235</v>
      </c>
      <c r="B61" s="175" t="s">
        <v>508</v>
      </c>
      <c r="C61" s="2">
        <v>2732.31</v>
      </c>
      <c r="D61" s="355">
        <v>2711</v>
      </c>
      <c r="E61" s="2">
        <v>2732.31</v>
      </c>
      <c r="F61" s="355">
        <v>2711</v>
      </c>
      <c r="G61" s="2">
        <v>2674.99</v>
      </c>
      <c r="H61" s="58">
        <f t="shared" si="22"/>
        <v>-36.010000000000218</v>
      </c>
      <c r="I61" s="51">
        <f t="shared" si="23"/>
        <v>-1.3282921431206277E-2</v>
      </c>
      <c r="J61" s="178"/>
      <c r="K61" s="58">
        <f t="shared" si="24"/>
        <v>-57.320000000000164</v>
      </c>
      <c r="L61" s="59">
        <f t="shared" si="25"/>
        <v>-2.0978585885203422E-2</v>
      </c>
      <c r="M61" s="218"/>
    </row>
    <row r="62" spans="1:13" ht="22.5" x14ac:dyDescent="0.2">
      <c r="A62" s="154" t="s">
        <v>234</v>
      </c>
      <c r="B62" s="175" t="s">
        <v>509</v>
      </c>
      <c r="C62" s="2">
        <v>1683.69</v>
      </c>
      <c r="D62" s="355">
        <v>1621</v>
      </c>
      <c r="E62" s="2">
        <v>1683.69</v>
      </c>
      <c r="F62" s="355">
        <v>1621</v>
      </c>
      <c r="G62" s="2">
        <v>1658.96</v>
      </c>
      <c r="H62" s="58">
        <f t="shared" si="22"/>
        <v>37.960000000000036</v>
      </c>
      <c r="I62" s="51">
        <f t="shared" si="23"/>
        <v>2.3417643429981514E-2</v>
      </c>
      <c r="J62" s="178"/>
      <c r="K62" s="58">
        <f t="shared" si="24"/>
        <v>-24.730000000000018</v>
      </c>
      <c r="L62" s="59">
        <f t="shared" si="25"/>
        <v>-1.4687977002892467E-2</v>
      </c>
      <c r="M62" s="139"/>
    </row>
    <row r="63" spans="1:13" ht="41.25" x14ac:dyDescent="0.2">
      <c r="A63" s="154" t="s">
        <v>233</v>
      </c>
      <c r="B63" s="176" t="s">
        <v>510</v>
      </c>
      <c r="C63" s="2">
        <v>1020.0549999999999</v>
      </c>
      <c r="D63" s="355">
        <v>971</v>
      </c>
      <c r="E63" s="2">
        <v>1020.0549999999999</v>
      </c>
      <c r="F63" s="355">
        <v>971</v>
      </c>
      <c r="G63" s="2">
        <v>963.65</v>
      </c>
      <c r="H63" s="58">
        <f t="shared" si="22"/>
        <v>-7.3500000000000227</v>
      </c>
      <c r="I63" s="51">
        <f>IFERROR(H63/ABS(F63), "-")</f>
        <v>-7.5695159629248429E-3</v>
      </c>
      <c r="J63" s="168"/>
      <c r="K63" s="58">
        <f t="shared" si="24"/>
        <v>-56.404999999999973</v>
      </c>
      <c r="L63" s="59">
        <f>IFERROR(K63/ABS(E63), "-")</f>
        <v>-5.5296037958737498E-2</v>
      </c>
      <c r="M63" s="139"/>
    </row>
    <row r="64" spans="1:13" ht="22.5" x14ac:dyDescent="0.2">
      <c r="A64" s="154" t="s">
        <v>232</v>
      </c>
      <c r="B64" s="176" t="s">
        <v>511</v>
      </c>
      <c r="C64" s="2">
        <v>2223.71</v>
      </c>
      <c r="D64" s="355">
        <v>2224</v>
      </c>
      <c r="E64" s="2">
        <v>2223.71</v>
      </c>
      <c r="F64" s="355">
        <v>2224</v>
      </c>
      <c r="G64" s="2">
        <v>2086.4499999999998</v>
      </c>
      <c r="H64" s="58">
        <f>G64-F64</f>
        <v>-137.55000000000018</v>
      </c>
      <c r="I64" s="51">
        <f t="shared" si="23"/>
        <v>-6.1848021582733892E-2</v>
      </c>
      <c r="J64" s="139"/>
      <c r="K64" s="58">
        <f t="shared" si="24"/>
        <v>-137.26000000000022</v>
      </c>
      <c r="L64" s="59">
        <f t="shared" si="25"/>
        <v>-6.1725674660814682E-2</v>
      </c>
      <c r="M64" s="139"/>
    </row>
    <row r="65" spans="1:13" ht="22.5" x14ac:dyDescent="0.2">
      <c r="A65" s="154" t="s">
        <v>231</v>
      </c>
      <c r="B65" s="176" t="s">
        <v>512</v>
      </c>
      <c r="C65" s="2">
        <v>1047.94</v>
      </c>
      <c r="D65" s="355">
        <v>1012</v>
      </c>
      <c r="E65" s="2">
        <v>1047.94</v>
      </c>
      <c r="F65" s="355">
        <v>1012</v>
      </c>
      <c r="G65" s="2">
        <v>1014.55</v>
      </c>
      <c r="H65" s="58">
        <f t="shared" si="22"/>
        <v>2.5499999999999545</v>
      </c>
      <c r="I65" s="51">
        <f t="shared" si="23"/>
        <v>2.5197628458497575E-3</v>
      </c>
      <c r="J65" s="218"/>
      <c r="K65" s="58">
        <f t="shared" si="24"/>
        <v>-33.3900000000001</v>
      </c>
      <c r="L65" s="59">
        <f t="shared" si="25"/>
        <v>-3.186251121247409E-2</v>
      </c>
      <c r="M65" s="139"/>
    </row>
    <row r="66" spans="1:13" ht="19.5" x14ac:dyDescent="0.2">
      <c r="A66" s="28" t="s">
        <v>230</v>
      </c>
      <c r="B66" s="29" t="s">
        <v>229</v>
      </c>
      <c r="C66" s="73">
        <v>577</v>
      </c>
      <c r="D66" s="353">
        <v>585</v>
      </c>
      <c r="E66" s="73">
        <v>577</v>
      </c>
      <c r="F66" s="353">
        <v>585</v>
      </c>
      <c r="G66" s="73">
        <v>589</v>
      </c>
      <c r="H66" s="74">
        <f t="shared" si="22"/>
        <v>4</v>
      </c>
      <c r="I66" s="173">
        <f t="shared" si="23"/>
        <v>6.8376068376068376E-3</v>
      </c>
      <c r="J66" s="133"/>
      <c r="K66" s="45">
        <f t="shared" si="24"/>
        <v>12</v>
      </c>
      <c r="L66" s="174">
        <f t="shared" si="25"/>
        <v>2.0797227036395149E-2</v>
      </c>
      <c r="M66" s="50"/>
    </row>
    <row r="67" spans="1:13" ht="22.5" x14ac:dyDescent="0.2">
      <c r="A67" s="154" t="s">
        <v>228</v>
      </c>
      <c r="B67" s="175" t="s">
        <v>508</v>
      </c>
      <c r="C67" s="2">
        <v>115</v>
      </c>
      <c r="D67" s="354">
        <v>117</v>
      </c>
      <c r="E67" s="2">
        <v>115</v>
      </c>
      <c r="F67" s="354">
        <v>117</v>
      </c>
      <c r="G67" s="3">
        <v>115</v>
      </c>
      <c r="H67" s="60">
        <f t="shared" si="22"/>
        <v>-2</v>
      </c>
      <c r="I67" s="51">
        <f t="shared" si="23"/>
        <v>-1.7094017094017096E-2</v>
      </c>
      <c r="J67" s="134"/>
      <c r="K67" s="60">
        <f t="shared" si="24"/>
        <v>0</v>
      </c>
      <c r="L67" s="59">
        <f t="shared" si="25"/>
        <v>0</v>
      </c>
      <c r="M67" s="48"/>
    </row>
    <row r="68" spans="1:13" ht="22.5" x14ac:dyDescent="0.2">
      <c r="A68" s="154" t="s">
        <v>227</v>
      </c>
      <c r="B68" s="175" t="s">
        <v>509</v>
      </c>
      <c r="C68" s="6">
        <v>187</v>
      </c>
      <c r="D68" s="355">
        <v>190</v>
      </c>
      <c r="E68" s="6">
        <v>187</v>
      </c>
      <c r="F68" s="355">
        <v>190</v>
      </c>
      <c r="G68" s="77">
        <v>184</v>
      </c>
      <c r="H68" s="58">
        <f t="shared" si="22"/>
        <v>-6</v>
      </c>
      <c r="I68" s="51">
        <f t="shared" si="23"/>
        <v>-3.1578947368421054E-2</v>
      </c>
      <c r="J68" s="134"/>
      <c r="K68" s="58">
        <f t="shared" si="24"/>
        <v>-3</v>
      </c>
      <c r="L68" s="59">
        <f t="shared" si="25"/>
        <v>-1.6042780748663103E-2</v>
      </c>
      <c r="M68" s="218"/>
    </row>
    <row r="69" spans="1:13" ht="41.25" x14ac:dyDescent="0.2">
      <c r="A69" s="154" t="s">
        <v>226</v>
      </c>
      <c r="B69" s="176" t="s">
        <v>510</v>
      </c>
      <c r="C69" s="6">
        <v>45</v>
      </c>
      <c r="D69" s="355">
        <v>46</v>
      </c>
      <c r="E69" s="6">
        <v>45</v>
      </c>
      <c r="F69" s="355">
        <v>46</v>
      </c>
      <c r="G69" s="77">
        <v>44</v>
      </c>
      <c r="H69" s="58">
        <f t="shared" si="22"/>
        <v>-2</v>
      </c>
      <c r="I69" s="51">
        <f t="shared" si="23"/>
        <v>-4.3478260869565216E-2</v>
      </c>
      <c r="J69" s="178"/>
      <c r="K69" s="58">
        <f t="shared" si="24"/>
        <v>-1</v>
      </c>
      <c r="L69" s="59">
        <f t="shared" si="25"/>
        <v>-2.2222222222222223E-2</v>
      </c>
      <c r="M69" s="178"/>
    </row>
    <row r="70" spans="1:13" ht="22.5" x14ac:dyDescent="0.2">
      <c r="A70" s="154" t="s">
        <v>225</v>
      </c>
      <c r="B70" s="176" t="s">
        <v>511</v>
      </c>
      <c r="C70" s="6">
        <v>36</v>
      </c>
      <c r="D70" s="355">
        <v>36</v>
      </c>
      <c r="E70" s="6">
        <v>36</v>
      </c>
      <c r="F70" s="355">
        <v>36</v>
      </c>
      <c r="G70" s="77">
        <v>35</v>
      </c>
      <c r="H70" s="58">
        <f t="shared" si="22"/>
        <v>-1</v>
      </c>
      <c r="I70" s="51">
        <f t="shared" si="23"/>
        <v>-2.7777777777777776E-2</v>
      </c>
      <c r="J70" s="178"/>
      <c r="K70" s="58">
        <f t="shared" si="24"/>
        <v>-1</v>
      </c>
      <c r="L70" s="59">
        <f t="shared" si="25"/>
        <v>-2.7777777777777776E-2</v>
      </c>
      <c r="M70" s="178"/>
    </row>
    <row r="71" spans="1:13" ht="22.5" x14ac:dyDescent="0.2">
      <c r="A71" s="154" t="s">
        <v>224</v>
      </c>
      <c r="B71" s="176" t="s">
        <v>512</v>
      </c>
      <c r="C71" s="6">
        <v>194</v>
      </c>
      <c r="D71" s="355">
        <v>196</v>
      </c>
      <c r="E71" s="6">
        <v>194</v>
      </c>
      <c r="F71" s="355">
        <v>196</v>
      </c>
      <c r="G71" s="77">
        <v>210</v>
      </c>
      <c r="H71" s="58">
        <f t="shared" si="22"/>
        <v>14</v>
      </c>
      <c r="I71" s="51">
        <f>IFERROR(H71/ABS(F71), "-")</f>
        <v>7.1428571428571425E-2</v>
      </c>
      <c r="J71" s="134"/>
      <c r="K71" s="58">
        <f t="shared" si="24"/>
        <v>16</v>
      </c>
      <c r="L71" s="59">
        <f t="shared" si="25"/>
        <v>8.247422680412371E-2</v>
      </c>
      <c r="M71" s="47"/>
    </row>
    <row r="72" spans="1:13" ht="19.5" x14ac:dyDescent="0.2">
      <c r="A72" s="28" t="s">
        <v>223</v>
      </c>
      <c r="B72" s="29" t="s">
        <v>513</v>
      </c>
      <c r="C72" s="73">
        <v>1715.43</v>
      </c>
      <c r="D72" s="353">
        <v>1701</v>
      </c>
      <c r="E72" s="73">
        <v>1715.43</v>
      </c>
      <c r="F72" s="353">
        <v>1701</v>
      </c>
      <c r="G72" s="73">
        <v>1658.66</v>
      </c>
      <c r="H72" s="74">
        <f t="shared" si="22"/>
        <v>-42.339999999999918</v>
      </c>
      <c r="I72" s="173">
        <f t="shared" si="23"/>
        <v>-2.4891240446795953E-2</v>
      </c>
      <c r="J72" s="133"/>
      <c r="K72" s="45">
        <f t="shared" si="24"/>
        <v>-56.769999999999982</v>
      </c>
      <c r="L72" s="174">
        <f t="shared" si="25"/>
        <v>-3.3093743259707466E-2</v>
      </c>
      <c r="M72" s="50"/>
    </row>
    <row r="73" spans="1:13" ht="22.5" x14ac:dyDescent="0.2">
      <c r="A73" s="154" t="s">
        <v>222</v>
      </c>
      <c r="B73" s="175" t="s">
        <v>508</v>
      </c>
      <c r="C73" s="2">
        <v>2637.27</v>
      </c>
      <c r="D73" s="354">
        <v>2693</v>
      </c>
      <c r="E73" s="2">
        <v>2637.27</v>
      </c>
      <c r="F73" s="354">
        <v>2693</v>
      </c>
      <c r="G73" s="2">
        <v>2868.03</v>
      </c>
      <c r="H73" s="60">
        <f t="shared" si="22"/>
        <v>175.0300000000002</v>
      </c>
      <c r="I73" s="51">
        <f t="shared" si="23"/>
        <v>6.499443000371341E-2</v>
      </c>
      <c r="J73" s="139"/>
      <c r="K73" s="60">
        <f t="shared" si="24"/>
        <v>230.76000000000022</v>
      </c>
      <c r="L73" s="59">
        <f t="shared" si="25"/>
        <v>8.7499573422516547E-2</v>
      </c>
      <c r="M73" s="139"/>
    </row>
    <row r="74" spans="1:13" ht="22.5" x14ac:dyDescent="0.2">
      <c r="A74" s="154" t="s">
        <v>221</v>
      </c>
      <c r="B74" s="175" t="s">
        <v>509</v>
      </c>
      <c r="C74" s="6">
        <v>1755.71</v>
      </c>
      <c r="D74" s="355">
        <v>1665</v>
      </c>
      <c r="E74" s="6">
        <v>1755.71</v>
      </c>
      <c r="F74" s="355">
        <v>1665</v>
      </c>
      <c r="G74" s="6">
        <v>1794.2</v>
      </c>
      <c r="H74" s="58">
        <f t="shared" si="22"/>
        <v>129.20000000000005</v>
      </c>
      <c r="I74" s="51">
        <f t="shared" si="23"/>
        <v>7.7597597597597628E-2</v>
      </c>
      <c r="J74" s="168"/>
      <c r="K74" s="58">
        <f t="shared" si="24"/>
        <v>38.490000000000009</v>
      </c>
      <c r="L74" s="59">
        <f t="shared" si="25"/>
        <v>2.192275489687933E-2</v>
      </c>
      <c r="M74" s="139"/>
    </row>
    <row r="75" spans="1:13" ht="41.25" x14ac:dyDescent="0.2">
      <c r="A75" s="154" t="s">
        <v>220</v>
      </c>
      <c r="B75" s="176" t="s">
        <v>510</v>
      </c>
      <c r="C75" s="6">
        <v>1020.0549999999999</v>
      </c>
      <c r="D75" s="355">
        <v>963</v>
      </c>
      <c r="E75" s="6">
        <v>1020.0549999999999</v>
      </c>
      <c r="F75" s="355">
        <v>963</v>
      </c>
      <c r="G75" s="6">
        <v>1007.45</v>
      </c>
      <c r="H75" s="58">
        <f t="shared" si="22"/>
        <v>44.450000000000045</v>
      </c>
      <c r="I75" s="51">
        <f t="shared" si="23"/>
        <v>4.6157840083073776E-2</v>
      </c>
      <c r="J75" s="168"/>
      <c r="K75" s="58">
        <f t="shared" si="24"/>
        <v>-12.604999999999905</v>
      </c>
      <c r="L75" s="59">
        <f t="shared" si="25"/>
        <v>-1.2357176818896927E-2</v>
      </c>
      <c r="M75" s="218"/>
    </row>
    <row r="76" spans="1:13" ht="22.5" x14ac:dyDescent="0.2">
      <c r="A76" s="154" t="s">
        <v>219</v>
      </c>
      <c r="B76" s="176" t="s">
        <v>511</v>
      </c>
      <c r="C76" s="6">
        <v>2161.9430000000002</v>
      </c>
      <c r="D76" s="355">
        <v>2183</v>
      </c>
      <c r="E76" s="6">
        <v>2161.9430000000002</v>
      </c>
      <c r="F76" s="355">
        <v>2183</v>
      </c>
      <c r="G76" s="6">
        <v>2205.6799999999998</v>
      </c>
      <c r="H76" s="58">
        <f t="shared" si="22"/>
        <v>22.679999999999836</v>
      </c>
      <c r="I76" s="51">
        <f t="shared" si="23"/>
        <v>1.0389372423270654E-2</v>
      </c>
      <c r="J76" s="218"/>
      <c r="K76" s="58">
        <f t="shared" si="24"/>
        <v>43.736999999999625</v>
      </c>
      <c r="L76" s="59">
        <f t="shared" si="25"/>
        <v>2.0230413105248205E-2</v>
      </c>
      <c r="M76" s="139"/>
    </row>
    <row r="77" spans="1:13" ht="22.5" x14ac:dyDescent="0.2">
      <c r="A77" s="154" t="s">
        <v>218</v>
      </c>
      <c r="B77" s="176" t="s">
        <v>512</v>
      </c>
      <c r="C77" s="6">
        <v>1031.7360000000001</v>
      </c>
      <c r="D77" s="355">
        <v>999</v>
      </c>
      <c r="E77" s="6">
        <v>1031.7360000000001</v>
      </c>
      <c r="F77" s="355">
        <v>999</v>
      </c>
      <c r="G77" s="6">
        <v>985.56</v>
      </c>
      <c r="H77" s="58">
        <f t="shared" si="22"/>
        <v>-13.440000000000055</v>
      </c>
      <c r="I77" s="51">
        <f t="shared" si="23"/>
        <v>-1.3453453453453508E-2</v>
      </c>
      <c r="J77" s="178"/>
      <c r="K77" s="58">
        <f t="shared" si="24"/>
        <v>-46.176000000000158</v>
      </c>
      <c r="L77" s="59">
        <f t="shared" si="25"/>
        <v>-4.4755635162483577E-2</v>
      </c>
      <c r="M77" s="139"/>
    </row>
    <row r="78" spans="1:13" ht="19.5" x14ac:dyDescent="0.2">
      <c r="A78" s="30" t="s">
        <v>491</v>
      </c>
      <c r="B78" s="179" t="s">
        <v>492</v>
      </c>
      <c r="C78" s="17" t="s">
        <v>215</v>
      </c>
      <c r="D78" s="17" t="s">
        <v>215</v>
      </c>
      <c r="E78" s="17" t="s">
        <v>215</v>
      </c>
      <c r="F78" s="17" t="s">
        <v>215</v>
      </c>
      <c r="G78" s="17" t="s">
        <v>215</v>
      </c>
      <c r="H78" s="31" t="s">
        <v>215</v>
      </c>
      <c r="I78" s="167" t="s">
        <v>215</v>
      </c>
      <c r="J78" s="167" t="s">
        <v>215</v>
      </c>
      <c r="K78" s="167" t="s">
        <v>215</v>
      </c>
      <c r="L78" s="167" t="s">
        <v>215</v>
      </c>
      <c r="M78" s="167" t="s">
        <v>215</v>
      </c>
    </row>
    <row r="79" spans="1:13" x14ac:dyDescent="0.2">
      <c r="A79" s="154" t="s">
        <v>493</v>
      </c>
      <c r="B79" s="176" t="s">
        <v>494</v>
      </c>
      <c r="C79" s="6">
        <v>15</v>
      </c>
      <c r="D79" s="204">
        <v>16</v>
      </c>
      <c r="E79" s="6">
        <v>15</v>
      </c>
      <c r="F79" s="204">
        <v>16</v>
      </c>
      <c r="G79" s="6">
        <v>15</v>
      </c>
      <c r="H79" s="58">
        <f t="shared" ref="H79:H82" si="26">G79-F79</f>
        <v>-1</v>
      </c>
      <c r="I79" s="166">
        <f t="shared" ref="I79:I82" si="27">IFERROR(H79/ABS(F79), "-")</f>
        <v>-6.25E-2</v>
      </c>
      <c r="J79" s="270"/>
      <c r="K79" s="58">
        <f t="shared" ref="K79:K82" si="28">G79-E79</f>
        <v>0</v>
      </c>
      <c r="L79" s="59">
        <f t="shared" ref="L79:L82" si="29">IFERROR(K79/ABS(E79), "-")</f>
        <v>0</v>
      </c>
      <c r="M79" s="178"/>
    </row>
    <row r="80" spans="1:13" ht="75" x14ac:dyDescent="0.2">
      <c r="A80" s="154" t="s">
        <v>495</v>
      </c>
      <c r="B80" s="176" t="s">
        <v>496</v>
      </c>
      <c r="C80" s="77">
        <v>53.06</v>
      </c>
      <c r="D80" s="204">
        <v>31</v>
      </c>
      <c r="E80" s="77">
        <v>53.06</v>
      </c>
      <c r="F80" s="204">
        <v>31</v>
      </c>
      <c r="G80" s="77">
        <v>32</v>
      </c>
      <c r="H80" s="58">
        <f t="shared" si="26"/>
        <v>1</v>
      </c>
      <c r="I80" s="166">
        <f t="shared" si="27"/>
        <v>3.2258064516129031E-2</v>
      </c>
      <c r="J80" s="168"/>
      <c r="K80" s="58">
        <f t="shared" si="28"/>
        <v>-21.060000000000002</v>
      </c>
      <c r="L80" s="59">
        <f t="shared" si="29"/>
        <v>-0.396909159442141</v>
      </c>
      <c r="M80" s="135" t="s">
        <v>788</v>
      </c>
    </row>
    <row r="81" spans="1:13" ht="56.25" x14ac:dyDescent="0.2">
      <c r="A81" s="154" t="s">
        <v>497</v>
      </c>
      <c r="B81" s="176" t="s">
        <v>536</v>
      </c>
      <c r="C81" s="6">
        <v>23</v>
      </c>
      <c r="D81" s="204">
        <v>23</v>
      </c>
      <c r="E81" s="6">
        <v>23</v>
      </c>
      <c r="F81" s="204">
        <v>23</v>
      </c>
      <c r="G81" s="6">
        <v>23</v>
      </c>
      <c r="H81" s="58">
        <f t="shared" si="26"/>
        <v>0</v>
      </c>
      <c r="I81" s="166">
        <f t="shared" si="27"/>
        <v>0</v>
      </c>
      <c r="J81" s="54"/>
      <c r="K81" s="58">
        <f t="shared" si="28"/>
        <v>0</v>
      </c>
      <c r="L81" s="59">
        <f t="shared" si="29"/>
        <v>0</v>
      </c>
      <c r="M81" s="47"/>
    </row>
    <row r="82" spans="1:13" ht="56.25" x14ac:dyDescent="0.2">
      <c r="A82" s="154" t="s">
        <v>498</v>
      </c>
      <c r="B82" s="176" t="s">
        <v>499</v>
      </c>
      <c r="C82" s="6">
        <v>41</v>
      </c>
      <c r="D82" s="204">
        <v>41</v>
      </c>
      <c r="E82" s="6">
        <v>41</v>
      </c>
      <c r="F82" s="204">
        <v>41</v>
      </c>
      <c r="G82" s="6">
        <v>40</v>
      </c>
      <c r="H82" s="58">
        <f t="shared" si="26"/>
        <v>-1</v>
      </c>
      <c r="I82" s="166">
        <f t="shared" si="27"/>
        <v>-2.4390243902439025E-2</v>
      </c>
      <c r="J82" s="54"/>
      <c r="K82" s="58">
        <f t="shared" si="28"/>
        <v>-1</v>
      </c>
      <c r="L82" s="59">
        <f t="shared" si="29"/>
        <v>-2.4390243902439025E-2</v>
      </c>
      <c r="M82" s="47"/>
    </row>
    <row r="83" spans="1:13" ht="19.5" x14ac:dyDescent="0.2">
      <c r="A83" s="28" t="s">
        <v>217</v>
      </c>
      <c r="B83" s="29" t="s">
        <v>500</v>
      </c>
      <c r="C83" s="17" t="s">
        <v>215</v>
      </c>
      <c r="D83" s="17" t="s">
        <v>215</v>
      </c>
      <c r="E83" s="17" t="s">
        <v>215</v>
      </c>
      <c r="F83" s="17" t="s">
        <v>215</v>
      </c>
      <c r="G83" s="17" t="s">
        <v>215</v>
      </c>
      <c r="H83" s="17" t="s">
        <v>215</v>
      </c>
      <c r="I83" s="18" t="s">
        <v>215</v>
      </c>
      <c r="J83" s="18" t="s">
        <v>215</v>
      </c>
      <c r="K83" s="18" t="s">
        <v>215</v>
      </c>
      <c r="L83" s="18" t="s">
        <v>215</v>
      </c>
      <c r="M83" s="18" t="s">
        <v>215</v>
      </c>
    </row>
    <row r="84" spans="1:13" ht="22.5" x14ac:dyDescent="0.2">
      <c r="A84" s="25" t="s">
        <v>216</v>
      </c>
      <c r="B84" s="14" t="s">
        <v>514</v>
      </c>
      <c r="C84" s="77">
        <v>26842</v>
      </c>
      <c r="D84" s="76">
        <v>26842</v>
      </c>
      <c r="E84" s="77">
        <v>26842</v>
      </c>
      <c r="F84" s="76">
        <v>26842</v>
      </c>
      <c r="G84" s="76">
        <v>26842</v>
      </c>
      <c r="H84" s="56">
        <f t="shared" ref="H84:H89" si="30">G84-F84</f>
        <v>0</v>
      </c>
      <c r="I84" s="52">
        <f t="shared" ref="I84:I89" si="31">IFERROR(H84/ABS(F84), "-")</f>
        <v>0</v>
      </c>
      <c r="J84" s="55"/>
      <c r="K84" s="56">
        <f t="shared" ref="K84:K85" si="32">G84-E84</f>
        <v>0</v>
      </c>
      <c r="L84" s="57">
        <f t="shared" ref="L84:L87" si="33">IFERROR(K84/ABS(E84), "-")</f>
        <v>0</v>
      </c>
      <c r="M84" s="49"/>
    </row>
    <row r="85" spans="1:13" ht="37.5" x14ac:dyDescent="0.2">
      <c r="A85" s="25" t="s">
        <v>542</v>
      </c>
      <c r="B85" s="32" t="s">
        <v>358</v>
      </c>
      <c r="C85" s="77">
        <v>7361</v>
      </c>
      <c r="D85" s="76">
        <v>7361</v>
      </c>
      <c r="E85" s="77">
        <v>7361</v>
      </c>
      <c r="F85" s="76">
        <v>7361</v>
      </c>
      <c r="G85" s="76">
        <v>7361</v>
      </c>
      <c r="H85" s="56">
        <f t="shared" si="30"/>
        <v>0</v>
      </c>
      <c r="I85" s="52">
        <f t="shared" si="31"/>
        <v>0</v>
      </c>
      <c r="K85" s="56">
        <f t="shared" si="32"/>
        <v>0</v>
      </c>
      <c r="L85" s="57">
        <f t="shared" si="33"/>
        <v>0</v>
      </c>
      <c r="M85" s="49"/>
    </row>
    <row r="86" spans="1:13" x14ac:dyDescent="0.3">
      <c r="A86" s="25" t="s">
        <v>541</v>
      </c>
      <c r="B86" s="13" t="s">
        <v>758</v>
      </c>
      <c r="C86" s="3">
        <v>4069230</v>
      </c>
      <c r="D86" s="77">
        <f>4069230*1.03</f>
        <v>4191306.9</v>
      </c>
      <c r="E86" s="3">
        <v>4069230</v>
      </c>
      <c r="F86" s="77">
        <f>4069230*1.03</f>
        <v>4191306.9</v>
      </c>
      <c r="G86" s="3">
        <v>3689770</v>
      </c>
      <c r="H86" s="56">
        <f>G86-F86</f>
        <v>-501536.89999999991</v>
      </c>
      <c r="I86" s="52">
        <f t="shared" si="31"/>
        <v>-0.11966122070421517</v>
      </c>
      <c r="J86" s="650" t="s">
        <v>784</v>
      </c>
      <c r="K86" s="56">
        <f>G86-E86</f>
        <v>-379460</v>
      </c>
      <c r="L86" s="57">
        <f>IFERROR(K86/ABS(E86), "-")</f>
        <v>-9.3251057325341655E-2</v>
      </c>
      <c r="M86" s="647"/>
    </row>
    <row r="87" spans="1:13" x14ac:dyDescent="0.2">
      <c r="A87" s="25" t="s">
        <v>543</v>
      </c>
      <c r="B87" s="13" t="s">
        <v>212</v>
      </c>
      <c r="C87" s="3">
        <v>1881667</v>
      </c>
      <c r="D87" s="77">
        <f>1881667*1.03</f>
        <v>1938117.01</v>
      </c>
      <c r="E87" s="3">
        <v>1881667</v>
      </c>
      <c r="F87" s="77">
        <f>1881667*1.03</f>
        <v>1938117.01</v>
      </c>
      <c r="G87" s="3">
        <v>1723469.38</v>
      </c>
      <c r="H87" s="56">
        <f>G87-F87</f>
        <v>-214647.63000000012</v>
      </c>
      <c r="I87" s="52">
        <f t="shared" si="31"/>
        <v>-0.11075060426821191</v>
      </c>
      <c r="J87" s="651" t="s">
        <v>785</v>
      </c>
      <c r="K87" s="56">
        <f>G87-E87</f>
        <v>-158197.62000000011</v>
      </c>
      <c r="L87" s="57">
        <f t="shared" si="33"/>
        <v>-8.4073122396258276E-2</v>
      </c>
      <c r="M87" s="648"/>
    </row>
    <row r="88" spans="1:13" ht="22.5" x14ac:dyDescent="0.2">
      <c r="A88" s="25" t="s">
        <v>214</v>
      </c>
      <c r="B88" s="13" t="s">
        <v>515</v>
      </c>
      <c r="C88" s="3">
        <v>16656</v>
      </c>
      <c r="D88" s="77">
        <f>16656*1.03</f>
        <v>17155.68</v>
      </c>
      <c r="E88" s="3">
        <v>16656</v>
      </c>
      <c r="F88" s="77">
        <f>16656*1.03</f>
        <v>17155.68</v>
      </c>
      <c r="G88" s="3">
        <v>16186</v>
      </c>
      <c r="H88" s="56">
        <f>G88-F88</f>
        <v>-969.68000000000029</v>
      </c>
      <c r="I88" s="52">
        <f>IFERROR(H88/ABS(F88), "-")</f>
        <v>-5.6522387920502147E-2</v>
      </c>
      <c r="J88" s="649"/>
      <c r="K88" s="56">
        <f>G88-E88</f>
        <v>-470</v>
      </c>
      <c r="L88" s="57">
        <f>IFERROR(K88/ABS(E88), "-")</f>
        <v>-2.8218059558117195E-2</v>
      </c>
      <c r="M88" s="643"/>
    </row>
    <row r="89" spans="1:13" ht="22.5" x14ac:dyDescent="0.2">
      <c r="A89" s="25" t="s">
        <v>213</v>
      </c>
      <c r="B89" s="13" t="s">
        <v>516</v>
      </c>
      <c r="C89" s="3">
        <v>17960.039999999997</v>
      </c>
      <c r="D89" s="77">
        <f>17960.04*1.03</f>
        <v>18498.841200000003</v>
      </c>
      <c r="E89" s="3">
        <v>17960.039999999997</v>
      </c>
      <c r="F89" s="77">
        <f>17960.04*1.03</f>
        <v>18498.841200000003</v>
      </c>
      <c r="G89" s="3">
        <v>17480.04</v>
      </c>
      <c r="H89" s="56">
        <f t="shared" si="30"/>
        <v>-1018.8012000000017</v>
      </c>
      <c r="I89" s="52">
        <f t="shared" si="31"/>
        <v>-5.5073784837939017E-2</v>
      </c>
      <c r="J89" s="649"/>
      <c r="K89" s="56">
        <f>G89-E89</f>
        <v>-479.99999999999636</v>
      </c>
      <c r="L89" s="57">
        <f>IFERROR(K89/ABS(E89), "-")</f>
        <v>-2.6725998383076901E-2</v>
      </c>
      <c r="M89" s="643"/>
    </row>
    <row r="90" spans="1:13" ht="37.5" x14ac:dyDescent="0.2">
      <c r="A90" s="30" t="s">
        <v>501</v>
      </c>
      <c r="B90" s="33" t="s">
        <v>502</v>
      </c>
      <c r="C90" s="17" t="s">
        <v>215</v>
      </c>
      <c r="D90" s="17" t="s">
        <v>215</v>
      </c>
      <c r="E90" s="17" t="s">
        <v>215</v>
      </c>
      <c r="F90" s="17" t="s">
        <v>215</v>
      </c>
      <c r="G90" s="34" t="s">
        <v>215</v>
      </c>
      <c r="H90" s="31" t="s">
        <v>215</v>
      </c>
      <c r="I90" s="35" t="s">
        <v>215</v>
      </c>
      <c r="J90" s="35" t="s">
        <v>215</v>
      </c>
      <c r="K90" s="35" t="s">
        <v>215</v>
      </c>
      <c r="L90" s="35" t="s">
        <v>215</v>
      </c>
      <c r="M90" s="35" t="s">
        <v>215</v>
      </c>
    </row>
    <row r="91" spans="1:13" ht="41.25" x14ac:dyDescent="0.2">
      <c r="A91" s="25" t="s">
        <v>503</v>
      </c>
      <c r="B91" s="13" t="s">
        <v>517</v>
      </c>
      <c r="C91" s="3"/>
      <c r="D91" s="356"/>
      <c r="E91" s="3"/>
      <c r="F91" s="356"/>
      <c r="G91" s="3"/>
      <c r="H91" s="56">
        <f>G91-F91</f>
        <v>0</v>
      </c>
      <c r="I91" s="52" t="str">
        <f>IFERROR(H91/ABS(F91), "-")</f>
        <v>-</v>
      </c>
      <c r="J91" s="55"/>
      <c r="K91" s="56">
        <f>G91-E91</f>
        <v>0</v>
      </c>
      <c r="L91" s="57" t="str">
        <f>IFERROR(K91/ABS(E91), "-")</f>
        <v>-</v>
      </c>
      <c r="M91" s="49"/>
    </row>
    <row r="92" spans="1:13" x14ac:dyDescent="0.2">
      <c r="A92" s="36"/>
      <c r="B92" s="37"/>
      <c r="C92" s="39"/>
      <c r="D92" s="40"/>
      <c r="E92" s="39"/>
      <c r="F92" s="38"/>
      <c r="G92" s="39"/>
      <c r="H92" s="40"/>
      <c r="I92" s="41"/>
      <c r="J92" s="41"/>
      <c r="K92" s="42"/>
    </row>
    <row r="93" spans="1:13" x14ac:dyDescent="0.2">
      <c r="A93" s="70" t="s">
        <v>544</v>
      </c>
      <c r="B93" s="37"/>
      <c r="C93" s="38"/>
      <c r="D93" s="38"/>
      <c r="E93" s="39"/>
      <c r="F93" s="38"/>
      <c r="G93" s="39"/>
      <c r="H93" s="40"/>
      <c r="I93" s="41"/>
      <c r="J93" s="41"/>
      <c r="K93" s="42"/>
    </row>
    <row r="94" spans="1:13" s="43" customFormat="1" x14ac:dyDescent="0.2">
      <c r="A94" s="829" t="s">
        <v>518</v>
      </c>
      <c r="B94" s="829"/>
      <c r="C94" s="829"/>
      <c r="D94" s="829"/>
      <c r="E94" s="829"/>
      <c r="F94" s="829"/>
      <c r="G94" s="829"/>
      <c r="H94" s="829"/>
      <c r="I94" s="829"/>
      <c r="J94" s="829"/>
      <c r="K94" s="829"/>
    </row>
    <row r="95" spans="1:13" s="43" customFormat="1" ht="18.75" customHeight="1" x14ac:dyDescent="0.2">
      <c r="A95" s="829" t="s">
        <v>519</v>
      </c>
      <c r="B95" s="829"/>
      <c r="C95" s="829"/>
      <c r="D95" s="829"/>
      <c r="E95" s="829"/>
      <c r="F95" s="829"/>
      <c r="G95" s="829"/>
      <c r="H95" s="829"/>
      <c r="I95" s="829"/>
      <c r="J95" s="829"/>
      <c r="K95" s="829"/>
    </row>
    <row r="96" spans="1:13" s="43" customFormat="1" ht="18" customHeight="1" x14ac:dyDescent="0.2">
      <c r="A96" s="829" t="s">
        <v>520</v>
      </c>
      <c r="B96" s="829"/>
      <c r="C96" s="829"/>
      <c r="D96" s="829"/>
      <c r="E96" s="829"/>
      <c r="F96" s="829"/>
      <c r="G96" s="829"/>
      <c r="H96" s="829"/>
      <c r="I96" s="829"/>
      <c r="J96" s="829"/>
      <c r="K96" s="829"/>
    </row>
    <row r="97" spans="1:11" s="43" customFormat="1" ht="21.75" customHeight="1" x14ac:dyDescent="0.2">
      <c r="A97" s="829" t="s">
        <v>521</v>
      </c>
      <c r="B97" s="829"/>
      <c r="C97" s="829"/>
      <c r="D97" s="829"/>
      <c r="E97" s="829"/>
      <c r="F97" s="829"/>
      <c r="G97" s="829"/>
      <c r="H97" s="829"/>
      <c r="I97" s="829"/>
      <c r="J97" s="829"/>
      <c r="K97" s="829"/>
    </row>
    <row r="98" spans="1:11" s="43" customFormat="1" ht="18" customHeight="1" x14ac:dyDescent="0.2">
      <c r="A98" s="829" t="s">
        <v>522</v>
      </c>
      <c r="B98" s="829"/>
      <c r="C98" s="829"/>
      <c r="D98" s="829"/>
      <c r="E98" s="829"/>
      <c r="F98" s="829"/>
      <c r="G98" s="829"/>
      <c r="H98" s="829"/>
      <c r="I98" s="829"/>
      <c r="J98" s="829"/>
      <c r="K98" s="829"/>
    </row>
    <row r="99" spans="1:11" s="43" customFormat="1" ht="17.25" customHeight="1" x14ac:dyDescent="0.2">
      <c r="A99" s="829" t="s">
        <v>523</v>
      </c>
      <c r="B99" s="829"/>
      <c r="C99" s="829"/>
      <c r="D99" s="829"/>
      <c r="E99" s="829"/>
      <c r="F99" s="829"/>
      <c r="G99" s="829"/>
      <c r="H99" s="829"/>
      <c r="I99" s="829"/>
      <c r="J99" s="829"/>
      <c r="K99" s="829"/>
    </row>
    <row r="100" spans="1:11" s="43" customFormat="1" x14ac:dyDescent="0.2">
      <c r="A100" s="829" t="s">
        <v>504</v>
      </c>
      <c r="B100" s="829"/>
      <c r="C100" s="829"/>
      <c r="D100" s="829"/>
      <c r="E100" s="829"/>
      <c r="F100" s="829"/>
      <c r="G100" s="829"/>
      <c r="H100" s="829"/>
      <c r="I100" s="829"/>
      <c r="J100" s="829"/>
      <c r="K100" s="829"/>
    </row>
    <row r="101" spans="1:11" s="43" customFormat="1" x14ac:dyDescent="0.2">
      <c r="A101" s="829" t="s">
        <v>524</v>
      </c>
      <c r="B101" s="829"/>
      <c r="C101" s="829"/>
      <c r="D101" s="829"/>
      <c r="E101" s="829"/>
      <c r="F101" s="829"/>
      <c r="G101" s="829"/>
      <c r="H101" s="829"/>
      <c r="I101" s="829"/>
      <c r="J101" s="829"/>
      <c r="K101" s="829"/>
    </row>
    <row r="102" spans="1:11" s="43" customFormat="1" ht="41.25" customHeight="1" x14ac:dyDescent="0.2">
      <c r="A102" s="829" t="s">
        <v>525</v>
      </c>
      <c r="B102" s="829"/>
      <c r="C102" s="829"/>
      <c r="D102" s="829"/>
      <c r="E102" s="829"/>
      <c r="F102" s="829"/>
      <c r="G102" s="829"/>
      <c r="H102" s="829"/>
      <c r="I102" s="829"/>
      <c r="J102" s="829"/>
      <c r="K102" s="829"/>
    </row>
    <row r="103" spans="1:11" s="43" customFormat="1" ht="40.5" customHeight="1" x14ac:dyDescent="0.2">
      <c r="A103" s="829" t="s">
        <v>537</v>
      </c>
      <c r="B103" s="829"/>
      <c r="C103" s="829"/>
      <c r="D103" s="829"/>
      <c r="E103" s="829"/>
      <c r="F103" s="829"/>
      <c r="G103" s="829"/>
      <c r="H103" s="829"/>
      <c r="I103" s="829"/>
      <c r="J103" s="829"/>
      <c r="K103" s="829"/>
    </row>
    <row r="104" spans="1:11" s="43" customFormat="1" x14ac:dyDescent="0.2">
      <c r="A104" s="829" t="s">
        <v>538</v>
      </c>
      <c r="B104" s="829"/>
      <c r="C104" s="829"/>
      <c r="D104" s="829"/>
      <c r="E104" s="829"/>
      <c r="F104" s="829"/>
      <c r="G104" s="829"/>
      <c r="H104" s="829"/>
      <c r="I104" s="829"/>
      <c r="J104" s="829"/>
      <c r="K104" s="829"/>
    </row>
    <row r="105" spans="1:11" s="43" customFormat="1" x14ac:dyDescent="0.2">
      <c r="A105" s="829" t="s">
        <v>539</v>
      </c>
      <c r="B105" s="829"/>
      <c r="C105" s="829"/>
      <c r="D105" s="829"/>
      <c r="E105" s="829"/>
      <c r="F105" s="829"/>
      <c r="G105" s="829"/>
      <c r="H105" s="829"/>
      <c r="I105" s="829"/>
      <c r="J105" s="829"/>
      <c r="K105" s="829"/>
    </row>
    <row r="106" spans="1:11" s="43" customFormat="1" x14ac:dyDescent="0.2">
      <c r="A106" s="829" t="s">
        <v>540</v>
      </c>
      <c r="B106" s="829"/>
      <c r="C106" s="829"/>
      <c r="D106" s="829"/>
      <c r="E106" s="829"/>
      <c r="F106" s="829"/>
      <c r="G106" s="829"/>
      <c r="H106" s="829"/>
      <c r="I106" s="829"/>
      <c r="J106" s="829"/>
      <c r="K106" s="829"/>
    </row>
    <row r="107" spans="1:11" ht="22.5" x14ac:dyDescent="0.2">
      <c r="A107" s="4" t="s">
        <v>607</v>
      </c>
    </row>
  </sheetData>
  <sheetProtection formatColumns="0" formatRows="0"/>
  <mergeCells count="13">
    <mergeCell ref="A99:K99"/>
    <mergeCell ref="A94:K94"/>
    <mergeCell ref="A95:K95"/>
    <mergeCell ref="A96:K96"/>
    <mergeCell ref="A97:K97"/>
    <mergeCell ref="A98:K98"/>
    <mergeCell ref="A106:K106"/>
    <mergeCell ref="A100:K100"/>
    <mergeCell ref="A101:K101"/>
    <mergeCell ref="A102:K102"/>
    <mergeCell ref="A103:K103"/>
    <mergeCell ref="A104:K104"/>
    <mergeCell ref="A105:K105"/>
  </mergeCells>
  <pageMargins left="0.70866141732283472" right="0.70866141732283472" top="0.59055118110236227" bottom="0.51181102362204722" header="0.31496062992125984" footer="0.31496062992125984"/>
  <pageSetup paperSize="9" scale="29" fitToHeight="2" orientation="portrait" r:id="rId1"/>
  <headerFooter>
    <oddHeader xml:space="preserve">&amp;C&amp;"Times New Roman,Bold"&amp;14
Naturālie rādītāji&amp;R&amp;"Times New Roman,Regular"&amp;14 5.pielikums
</oddHeader>
    <oddFooter>&amp;C&amp;"Times New Roman,Regular"&amp;12&amp;F &amp;A&amp;R&amp;"Times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2C359-C42E-4437-BAA4-2EADCDA120D8}">
  <sheetPr>
    <tabColor rgb="FF92D050"/>
    <pageSetUpPr fitToPage="1"/>
  </sheetPr>
  <dimension ref="A1:M82"/>
  <sheetViews>
    <sheetView topLeftCell="A66" workbookViewId="0">
      <selection activeCell="G54" sqref="G54"/>
    </sheetView>
  </sheetViews>
  <sheetFormatPr defaultRowHeight="12.75" x14ac:dyDescent="0.2"/>
  <cols>
    <col min="1" max="1" width="18" customWidth="1"/>
    <col min="2" max="2" width="21.85546875" customWidth="1"/>
    <col min="3" max="4" width="10.140625" style="687" bestFit="1" customWidth="1"/>
    <col min="5" max="5" width="15.85546875" style="687" customWidth="1"/>
    <col min="6" max="6" width="15.7109375" style="687" customWidth="1"/>
    <col min="7" max="7" width="13.42578125" customWidth="1"/>
    <col min="8" max="8" width="13.5703125" customWidth="1"/>
    <col min="9" max="9" width="14.42578125" customWidth="1"/>
    <col min="10" max="10" width="33.42578125" customWidth="1"/>
    <col min="11" max="12" width="9" bestFit="1" customWidth="1"/>
    <col min="13" max="13" width="34.42578125" customWidth="1"/>
  </cols>
  <sheetData>
    <row r="1" spans="1:13" x14ac:dyDescent="0.2">
      <c r="A1" s="833" t="s">
        <v>0</v>
      </c>
      <c r="B1" s="834" t="s">
        <v>722</v>
      </c>
      <c r="C1" s="834" t="s">
        <v>681</v>
      </c>
      <c r="D1" s="835" t="s">
        <v>682</v>
      </c>
      <c r="E1" s="835" t="s">
        <v>776</v>
      </c>
      <c r="F1" s="835" t="s">
        <v>777</v>
      </c>
      <c r="G1" s="835" t="s">
        <v>779</v>
      </c>
      <c r="H1" s="834" t="s">
        <v>683</v>
      </c>
      <c r="I1" s="834" t="s">
        <v>684</v>
      </c>
      <c r="J1" s="834" t="s">
        <v>721</v>
      </c>
      <c r="K1" s="834" t="s">
        <v>685</v>
      </c>
      <c r="L1" s="834" t="s">
        <v>686</v>
      </c>
      <c r="M1" s="834" t="s">
        <v>721</v>
      </c>
    </row>
    <row r="2" spans="1:13" ht="110.25" customHeight="1" x14ac:dyDescent="0.2">
      <c r="A2" s="833"/>
      <c r="B2" s="834"/>
      <c r="C2" s="834"/>
      <c r="D2" s="836"/>
      <c r="E2" s="836"/>
      <c r="F2" s="836"/>
      <c r="G2" s="836"/>
      <c r="H2" s="834"/>
      <c r="I2" s="834"/>
      <c r="J2" s="834"/>
      <c r="K2" s="834"/>
      <c r="L2" s="834"/>
      <c r="M2" s="834"/>
    </row>
    <row r="3" spans="1:13" ht="15.75" x14ac:dyDescent="0.2">
      <c r="A3" s="416">
        <v>1</v>
      </c>
      <c r="B3" s="415">
        <v>2</v>
      </c>
      <c r="C3" s="415">
        <v>3</v>
      </c>
      <c r="D3" s="415">
        <v>4</v>
      </c>
      <c r="E3" s="415">
        <v>5</v>
      </c>
      <c r="F3" s="415">
        <v>6</v>
      </c>
      <c r="G3" s="415">
        <v>7</v>
      </c>
      <c r="H3" s="416">
        <v>8</v>
      </c>
      <c r="I3" s="415">
        <v>9</v>
      </c>
      <c r="J3" s="415">
        <v>10</v>
      </c>
      <c r="K3" s="415">
        <v>11</v>
      </c>
      <c r="L3" s="415">
        <v>12</v>
      </c>
      <c r="M3" s="415">
        <v>13</v>
      </c>
    </row>
    <row r="4" spans="1:13" ht="31.5" x14ac:dyDescent="0.25">
      <c r="A4" s="370">
        <v>51000</v>
      </c>
      <c r="B4" s="371" t="s">
        <v>292</v>
      </c>
      <c r="C4" s="372">
        <v>47069</v>
      </c>
      <c r="D4" s="373">
        <v>0</v>
      </c>
      <c r="E4" s="403">
        <f>E5+E8+E11+E14</f>
        <v>47069</v>
      </c>
      <c r="F4" s="677">
        <v>0</v>
      </c>
      <c r="G4" s="403">
        <f>G8+G11+G14</f>
        <v>33275</v>
      </c>
      <c r="H4" s="374">
        <f>G4-F4</f>
        <v>33275</v>
      </c>
      <c r="I4" s="393" t="str">
        <f>IFERROR(H4/ABS(F4), "-")</f>
        <v>-</v>
      </c>
      <c r="J4" s="374"/>
      <c r="K4" s="374">
        <f>G4-E4</f>
        <v>-13794</v>
      </c>
      <c r="L4" s="404">
        <f>IFERROR(K4/ABS(E4), "-")</f>
        <v>-0.29305912596401029</v>
      </c>
      <c r="M4" s="374"/>
    </row>
    <row r="5" spans="1:13" ht="34.5" x14ac:dyDescent="0.25">
      <c r="A5" s="416">
        <v>51100</v>
      </c>
      <c r="B5" s="375" t="s">
        <v>723</v>
      </c>
      <c r="C5" s="376">
        <v>0</v>
      </c>
      <c r="D5" s="376">
        <v>0</v>
      </c>
      <c r="E5" s="376">
        <v>0</v>
      </c>
      <c r="F5" s="376">
        <v>0</v>
      </c>
      <c r="G5" s="405"/>
      <c r="H5" s="374">
        <f t="shared" ref="H5:H80" si="0">G5-F5</f>
        <v>0</v>
      </c>
      <c r="I5" s="393" t="str">
        <f t="shared" ref="I5:I80" si="1">IFERROR(H5/ABS(F5), "-")</f>
        <v>-</v>
      </c>
      <c r="J5" s="837" t="s">
        <v>866</v>
      </c>
      <c r="K5" s="374">
        <f t="shared" ref="K5:K80" si="2">G5-E5</f>
        <v>0</v>
      </c>
      <c r="L5" s="393" t="str">
        <f t="shared" ref="L5:L80" si="3">IFERROR(K5/ABS(E5), "-")</f>
        <v>-</v>
      </c>
      <c r="M5" s="840" t="s">
        <v>867</v>
      </c>
    </row>
    <row r="6" spans="1:13" ht="15.75" x14ac:dyDescent="0.25">
      <c r="A6" s="416"/>
      <c r="B6" s="375"/>
      <c r="C6" s="376"/>
      <c r="D6" s="376"/>
      <c r="E6" s="376"/>
      <c r="F6" s="376"/>
      <c r="G6" s="405"/>
      <c r="H6" s="374">
        <f t="shared" si="0"/>
        <v>0</v>
      </c>
      <c r="I6" s="393" t="str">
        <f t="shared" si="1"/>
        <v>-</v>
      </c>
      <c r="J6" s="838"/>
      <c r="K6" s="374">
        <f t="shared" si="2"/>
        <v>0</v>
      </c>
      <c r="L6" s="393" t="str">
        <f t="shared" si="3"/>
        <v>-</v>
      </c>
      <c r="M6" s="841"/>
    </row>
    <row r="7" spans="1:13" ht="15.75" x14ac:dyDescent="0.25">
      <c r="A7" s="416"/>
      <c r="B7" s="375"/>
      <c r="C7" s="376"/>
      <c r="D7" s="376"/>
      <c r="E7" s="376"/>
      <c r="F7" s="376"/>
      <c r="G7" s="405"/>
      <c r="H7" s="374">
        <f t="shared" si="0"/>
        <v>0</v>
      </c>
      <c r="I7" s="393" t="str">
        <f t="shared" si="1"/>
        <v>-</v>
      </c>
      <c r="J7" s="838"/>
      <c r="K7" s="374">
        <f t="shared" si="2"/>
        <v>0</v>
      </c>
      <c r="L7" s="393" t="str">
        <f t="shared" si="3"/>
        <v>-</v>
      </c>
      <c r="M7" s="841"/>
    </row>
    <row r="8" spans="1:13" ht="34.5" x14ac:dyDescent="0.25">
      <c r="A8" s="406">
        <v>51200</v>
      </c>
      <c r="B8" s="407" t="s">
        <v>724</v>
      </c>
      <c r="C8" s="408">
        <v>10769</v>
      </c>
      <c r="D8" s="409">
        <v>0</v>
      </c>
      <c r="E8" s="409">
        <v>10769</v>
      </c>
      <c r="F8" s="409">
        <v>0</v>
      </c>
      <c r="G8" s="410">
        <f>G9</f>
        <v>33275</v>
      </c>
      <c r="H8" s="374">
        <f t="shared" si="0"/>
        <v>33275</v>
      </c>
      <c r="I8" s="393" t="str">
        <f t="shared" si="1"/>
        <v>-</v>
      </c>
      <c r="J8" s="838"/>
      <c r="K8" s="374">
        <f t="shared" si="2"/>
        <v>22506</v>
      </c>
      <c r="L8" s="393">
        <f t="shared" si="3"/>
        <v>2.0898876404494384</v>
      </c>
      <c r="M8" s="841"/>
    </row>
    <row r="9" spans="1:13" ht="47.25" x14ac:dyDescent="0.25">
      <c r="A9" s="377"/>
      <c r="B9" s="378" t="s">
        <v>746</v>
      </c>
      <c r="C9" s="376"/>
      <c r="D9" s="376"/>
      <c r="E9" s="376"/>
      <c r="F9" s="376"/>
      <c r="G9" s="405">
        <v>33275</v>
      </c>
      <c r="H9" s="374">
        <f t="shared" si="0"/>
        <v>33275</v>
      </c>
      <c r="I9" s="393" t="str">
        <f t="shared" si="1"/>
        <v>-</v>
      </c>
      <c r="J9" s="838"/>
      <c r="K9" s="374">
        <f t="shared" si="2"/>
        <v>33275</v>
      </c>
      <c r="L9" s="393" t="str">
        <f t="shared" si="3"/>
        <v>-</v>
      </c>
      <c r="M9" s="841"/>
    </row>
    <row r="10" spans="1:13" ht="15.75" x14ac:dyDescent="0.25">
      <c r="A10" s="377"/>
      <c r="B10" s="378"/>
      <c r="C10" s="376"/>
      <c r="D10" s="376"/>
      <c r="E10" s="376"/>
      <c r="F10" s="376"/>
      <c r="G10" s="376"/>
      <c r="H10" s="374">
        <f t="shared" si="0"/>
        <v>0</v>
      </c>
      <c r="I10" s="393" t="str">
        <f t="shared" si="1"/>
        <v>-</v>
      </c>
      <c r="J10" s="838"/>
      <c r="K10" s="374">
        <f t="shared" si="2"/>
        <v>0</v>
      </c>
      <c r="L10" s="393" t="str">
        <f t="shared" si="3"/>
        <v>-</v>
      </c>
      <c r="M10" s="841"/>
    </row>
    <row r="11" spans="1:13" ht="78.75" x14ac:dyDescent="0.25">
      <c r="A11" s="406">
        <v>51300</v>
      </c>
      <c r="B11" s="407" t="s">
        <v>298</v>
      </c>
      <c r="C11" s="408">
        <v>36300</v>
      </c>
      <c r="D11" s="409">
        <v>0</v>
      </c>
      <c r="E11" s="410">
        <f>E12</f>
        <v>36300</v>
      </c>
      <c r="F11" s="409">
        <v>0</v>
      </c>
      <c r="G11" s="409"/>
      <c r="H11" s="374">
        <f t="shared" si="0"/>
        <v>0</v>
      </c>
      <c r="I11" s="393" t="str">
        <f t="shared" si="1"/>
        <v>-</v>
      </c>
      <c r="J11" s="838"/>
      <c r="K11" s="374">
        <f t="shared" si="2"/>
        <v>-36300</v>
      </c>
      <c r="L11" s="393">
        <f t="shared" si="3"/>
        <v>-1</v>
      </c>
      <c r="M11" s="841"/>
    </row>
    <row r="12" spans="1:13" ht="31.5" x14ac:dyDescent="0.25">
      <c r="A12" s="377"/>
      <c r="B12" s="378" t="s">
        <v>761</v>
      </c>
      <c r="C12" s="376"/>
      <c r="D12" s="376"/>
      <c r="E12" s="376">
        <v>36300</v>
      </c>
      <c r="F12" s="376"/>
      <c r="G12" s="376"/>
      <c r="H12" s="374">
        <f t="shared" si="0"/>
        <v>0</v>
      </c>
      <c r="I12" s="393" t="str">
        <f t="shared" si="1"/>
        <v>-</v>
      </c>
      <c r="J12" s="838"/>
      <c r="K12" s="374">
        <f t="shared" si="2"/>
        <v>-36300</v>
      </c>
      <c r="L12" s="393">
        <f t="shared" si="3"/>
        <v>-1</v>
      </c>
      <c r="M12" s="841"/>
    </row>
    <row r="13" spans="1:13" ht="15.75" x14ac:dyDescent="0.25">
      <c r="A13" s="377"/>
      <c r="B13" s="378"/>
      <c r="C13" s="376"/>
      <c r="D13" s="376"/>
      <c r="E13" s="376"/>
      <c r="F13" s="376"/>
      <c r="G13" s="376"/>
      <c r="H13" s="374">
        <f t="shared" si="0"/>
        <v>0</v>
      </c>
      <c r="I13" s="393" t="str">
        <f t="shared" si="1"/>
        <v>-</v>
      </c>
      <c r="J13" s="838"/>
      <c r="K13" s="374">
        <f t="shared" si="2"/>
        <v>0</v>
      </c>
      <c r="L13" s="393" t="str">
        <f t="shared" si="3"/>
        <v>-</v>
      </c>
      <c r="M13" s="841"/>
    </row>
    <row r="14" spans="1:13" ht="34.5" x14ac:dyDescent="0.25">
      <c r="A14" s="415">
        <v>51400</v>
      </c>
      <c r="B14" s="375" t="s">
        <v>725</v>
      </c>
      <c r="C14" s="376">
        <v>0</v>
      </c>
      <c r="D14" s="376">
        <v>0</v>
      </c>
      <c r="E14" s="376">
        <v>0</v>
      </c>
      <c r="F14" s="376">
        <v>0</v>
      </c>
      <c r="G14" s="376"/>
      <c r="H14" s="374">
        <f t="shared" si="0"/>
        <v>0</v>
      </c>
      <c r="I14" s="393" t="str">
        <f t="shared" si="1"/>
        <v>-</v>
      </c>
      <c r="J14" s="838"/>
      <c r="K14" s="374">
        <f t="shared" si="2"/>
        <v>0</v>
      </c>
      <c r="L14" s="393" t="str">
        <f t="shared" si="3"/>
        <v>-</v>
      </c>
      <c r="M14" s="841"/>
    </row>
    <row r="15" spans="1:13" ht="15.75" x14ac:dyDescent="0.25">
      <c r="A15" s="377"/>
      <c r="B15" s="378"/>
      <c r="C15" s="376"/>
      <c r="D15" s="376"/>
      <c r="E15" s="376"/>
      <c r="F15" s="376"/>
      <c r="G15" s="376"/>
      <c r="H15" s="374">
        <f t="shared" si="0"/>
        <v>0</v>
      </c>
      <c r="I15" s="393" t="str">
        <f t="shared" si="1"/>
        <v>-</v>
      </c>
      <c r="J15" s="838"/>
      <c r="K15" s="374">
        <f t="shared" si="2"/>
        <v>0</v>
      </c>
      <c r="L15" s="393" t="str">
        <f t="shared" si="3"/>
        <v>-</v>
      </c>
      <c r="M15" s="841"/>
    </row>
    <row r="16" spans="1:13" ht="15.75" x14ac:dyDescent="0.25">
      <c r="A16" s="377"/>
      <c r="B16" s="378"/>
      <c r="C16" s="376"/>
      <c r="D16" s="376"/>
      <c r="E16" s="376"/>
      <c r="F16" s="376"/>
      <c r="G16" s="376"/>
      <c r="H16" s="374">
        <f t="shared" si="0"/>
        <v>0</v>
      </c>
      <c r="I16" s="393" t="str">
        <f t="shared" si="1"/>
        <v>-</v>
      </c>
      <c r="J16" s="839"/>
      <c r="K16" s="374">
        <f t="shared" si="2"/>
        <v>0</v>
      </c>
      <c r="L16" s="393" t="str">
        <f t="shared" si="3"/>
        <v>-</v>
      </c>
      <c r="M16" s="842"/>
    </row>
    <row r="17" spans="1:13" ht="31.5" x14ac:dyDescent="0.25">
      <c r="A17" s="370">
        <v>52000</v>
      </c>
      <c r="B17" s="371" t="s">
        <v>293</v>
      </c>
      <c r="C17" s="372">
        <v>514861</v>
      </c>
      <c r="D17" s="372">
        <v>200000</v>
      </c>
      <c r="E17" s="372">
        <f>E18+E19+E20+E21+E22+E23+E24</f>
        <v>514861</v>
      </c>
      <c r="F17" s="678">
        <v>200000</v>
      </c>
      <c r="G17" s="372">
        <f>G18+G19+G20+G21+G22+G23+G24</f>
        <v>265505</v>
      </c>
      <c r="H17" s="374">
        <f t="shared" si="0"/>
        <v>65505</v>
      </c>
      <c r="I17" s="393">
        <f t="shared" si="1"/>
        <v>0.32752500000000001</v>
      </c>
      <c r="J17" s="374"/>
      <c r="K17" s="374">
        <f t="shared" si="2"/>
        <v>-249356</v>
      </c>
      <c r="L17" s="393">
        <f t="shared" si="3"/>
        <v>-0.48431712637002999</v>
      </c>
      <c r="M17" s="374"/>
    </row>
    <row r="18" spans="1:13" ht="18.75" x14ac:dyDescent="0.25">
      <c r="A18" s="377">
        <v>52100</v>
      </c>
      <c r="B18" s="378" t="s">
        <v>726</v>
      </c>
      <c r="C18" s="376"/>
      <c r="D18" s="380"/>
      <c r="E18" s="380"/>
      <c r="F18" s="380"/>
      <c r="G18" s="380"/>
      <c r="H18" s="374">
        <f t="shared" si="0"/>
        <v>0</v>
      </c>
      <c r="I18" s="393" t="str">
        <f t="shared" si="1"/>
        <v>-</v>
      </c>
      <c r="J18" s="840" t="s">
        <v>868</v>
      </c>
      <c r="K18" s="374">
        <f t="shared" si="2"/>
        <v>0</v>
      </c>
      <c r="L18" s="393" t="str">
        <f t="shared" si="3"/>
        <v>-</v>
      </c>
      <c r="M18" s="843" t="s">
        <v>869</v>
      </c>
    </row>
    <row r="19" spans="1:13" ht="34.5" x14ac:dyDescent="0.25">
      <c r="A19" s="377">
        <v>52200</v>
      </c>
      <c r="B19" s="378" t="s">
        <v>727</v>
      </c>
      <c r="C19" s="376"/>
      <c r="D19" s="380"/>
      <c r="E19" s="380"/>
      <c r="F19" s="380"/>
      <c r="G19" s="380"/>
      <c r="H19" s="374">
        <f t="shared" si="0"/>
        <v>0</v>
      </c>
      <c r="I19" s="393" t="str">
        <f t="shared" si="1"/>
        <v>-</v>
      </c>
      <c r="J19" s="841"/>
      <c r="K19" s="374">
        <f t="shared" si="2"/>
        <v>0</v>
      </c>
      <c r="L19" s="393" t="str">
        <f t="shared" si="3"/>
        <v>-</v>
      </c>
      <c r="M19" s="844"/>
    </row>
    <row r="20" spans="1:13" ht="18.75" x14ac:dyDescent="0.25">
      <c r="A20" s="377">
        <v>52300</v>
      </c>
      <c r="B20" s="378" t="s">
        <v>728</v>
      </c>
      <c r="C20" s="376"/>
      <c r="D20" s="380"/>
      <c r="E20" s="380"/>
      <c r="F20" s="380"/>
      <c r="G20" s="380"/>
      <c r="H20" s="374">
        <f t="shared" si="0"/>
        <v>0</v>
      </c>
      <c r="I20" s="393" t="str">
        <f t="shared" si="1"/>
        <v>-</v>
      </c>
      <c r="J20" s="841"/>
      <c r="K20" s="374">
        <f t="shared" si="2"/>
        <v>0</v>
      </c>
      <c r="L20" s="393" t="str">
        <f t="shared" si="3"/>
        <v>-</v>
      </c>
      <c r="M20" s="844"/>
    </row>
    <row r="21" spans="1:13" ht="18.75" x14ac:dyDescent="0.25">
      <c r="A21" s="377">
        <v>52400</v>
      </c>
      <c r="B21" s="378" t="s">
        <v>729</v>
      </c>
      <c r="C21" s="376"/>
      <c r="D21" s="380"/>
      <c r="E21" s="380"/>
      <c r="F21" s="380"/>
      <c r="G21" s="380"/>
      <c r="H21" s="374">
        <f t="shared" si="0"/>
        <v>0</v>
      </c>
      <c r="I21" s="393" t="str">
        <f t="shared" si="1"/>
        <v>-</v>
      </c>
      <c r="J21" s="841"/>
      <c r="K21" s="374">
        <f t="shared" si="2"/>
        <v>0</v>
      </c>
      <c r="L21" s="393" t="str">
        <f t="shared" si="3"/>
        <v>-</v>
      </c>
      <c r="M21" s="844"/>
    </row>
    <row r="22" spans="1:13" ht="34.5" x14ac:dyDescent="0.25">
      <c r="A22" s="377">
        <v>52500</v>
      </c>
      <c r="B22" s="378" t="s">
        <v>730</v>
      </c>
      <c r="C22" s="376"/>
      <c r="D22" s="380"/>
      <c r="E22" s="380"/>
      <c r="F22" s="380"/>
      <c r="G22" s="380"/>
      <c r="H22" s="374">
        <f t="shared" si="0"/>
        <v>0</v>
      </c>
      <c r="I22" s="393" t="str">
        <f t="shared" si="1"/>
        <v>-</v>
      </c>
      <c r="J22" s="841"/>
      <c r="K22" s="374">
        <f t="shared" si="2"/>
        <v>0</v>
      </c>
      <c r="L22" s="393" t="str">
        <f t="shared" si="3"/>
        <v>-</v>
      </c>
      <c r="M22" s="844"/>
    </row>
    <row r="23" spans="1:13" ht="31.5" x14ac:dyDescent="0.25">
      <c r="A23" s="406">
        <v>52600</v>
      </c>
      <c r="B23" s="407" t="s">
        <v>291</v>
      </c>
      <c r="C23" s="408">
        <v>514861</v>
      </c>
      <c r="D23" s="411">
        <v>200000</v>
      </c>
      <c r="E23" s="411">
        <v>0</v>
      </c>
      <c r="F23" s="411">
        <v>200000</v>
      </c>
      <c r="G23" s="411">
        <v>0</v>
      </c>
      <c r="H23" s="374">
        <f t="shared" si="0"/>
        <v>-200000</v>
      </c>
      <c r="I23" s="393">
        <f t="shared" si="1"/>
        <v>-1</v>
      </c>
      <c r="J23" s="841"/>
      <c r="K23" s="374">
        <f t="shared" si="2"/>
        <v>0</v>
      </c>
      <c r="L23" s="393" t="str">
        <f t="shared" si="3"/>
        <v>-</v>
      </c>
      <c r="M23" s="844"/>
    </row>
    <row r="24" spans="1:13" ht="48" customHeight="1" x14ac:dyDescent="0.25">
      <c r="A24" s="377">
        <v>52700</v>
      </c>
      <c r="B24" s="378" t="s">
        <v>731</v>
      </c>
      <c r="C24" s="376"/>
      <c r="D24" s="380"/>
      <c r="E24" s="380">
        <v>514861</v>
      </c>
      <c r="F24" s="380"/>
      <c r="G24" s="380">
        <v>265505</v>
      </c>
      <c r="H24" s="374">
        <f t="shared" si="0"/>
        <v>265505</v>
      </c>
      <c r="I24" s="393" t="str">
        <f t="shared" si="1"/>
        <v>-</v>
      </c>
      <c r="J24" s="842"/>
      <c r="K24" s="374">
        <f t="shared" si="2"/>
        <v>-249356</v>
      </c>
      <c r="L24" s="393">
        <f t="shared" si="3"/>
        <v>-0.48431712637002999</v>
      </c>
      <c r="M24" s="845"/>
    </row>
    <row r="25" spans="1:13" ht="31.5" x14ac:dyDescent="0.25">
      <c r="A25" s="370">
        <v>53000</v>
      </c>
      <c r="B25" s="371" t="s">
        <v>294</v>
      </c>
      <c r="C25" s="372">
        <v>776172</v>
      </c>
      <c r="D25" s="372">
        <v>1093300</v>
      </c>
      <c r="E25" s="372">
        <f>E26+E58+E60+E66</f>
        <v>776172</v>
      </c>
      <c r="F25" s="679">
        <f>F26+F58+F60+F66</f>
        <v>1093300</v>
      </c>
      <c r="G25" s="372">
        <f>G26+G58+G60+G66</f>
        <v>789906.94000000006</v>
      </c>
      <c r="H25" s="374">
        <f t="shared" si="0"/>
        <v>-303393.05999999994</v>
      </c>
      <c r="I25" s="393">
        <f t="shared" si="1"/>
        <v>-0.27750211286929471</v>
      </c>
      <c r="J25" s="374"/>
      <c r="K25" s="374">
        <f t="shared" si="2"/>
        <v>13734.940000000061</v>
      </c>
      <c r="L25" s="393">
        <f t="shared" si="3"/>
        <v>1.7695742696206589E-2</v>
      </c>
      <c r="M25" s="374"/>
    </row>
    <row r="26" spans="1:13" ht="179.25" customHeight="1" x14ac:dyDescent="0.25">
      <c r="A26" s="412">
        <v>53100</v>
      </c>
      <c r="B26" s="413" t="s">
        <v>732</v>
      </c>
      <c r="C26" s="528">
        <v>723248</v>
      </c>
      <c r="D26" s="528">
        <v>943000</v>
      </c>
      <c r="E26" s="528">
        <f>E27+E48</f>
        <v>723248</v>
      </c>
      <c r="F26" s="680">
        <f>F27+F48</f>
        <v>943000</v>
      </c>
      <c r="G26" s="528">
        <f>G27+G48</f>
        <v>713489.56</v>
      </c>
      <c r="H26" s="374">
        <f t="shared" si="0"/>
        <v>-229510.43999999994</v>
      </c>
      <c r="I26" s="393">
        <f t="shared" si="1"/>
        <v>-0.24338328738069984</v>
      </c>
      <c r="J26" s="778" t="s">
        <v>870</v>
      </c>
      <c r="K26" s="374">
        <f t="shared" si="2"/>
        <v>-9758.4399999999441</v>
      </c>
      <c r="L26" s="393">
        <f t="shared" si="3"/>
        <v>-1.3492522620179999E-2</v>
      </c>
      <c r="M26" s="825" t="s">
        <v>871</v>
      </c>
    </row>
    <row r="27" spans="1:13" ht="47.25" x14ac:dyDescent="0.25">
      <c r="A27" s="377">
        <v>53110</v>
      </c>
      <c r="B27" s="382" t="s">
        <v>296</v>
      </c>
      <c r="C27" s="376"/>
      <c r="D27" s="379">
        <v>943000</v>
      </c>
      <c r="E27" s="379">
        <v>723248</v>
      </c>
      <c r="F27" s="681">
        <f>F29+F30+F31+F32+F33+F34+F35+F36+F37+F38+F39+F40+F41+F42+F43+F44+F45+F46</f>
        <v>943000</v>
      </c>
      <c r="G27" s="379">
        <f>G29+G30+G31+G32+G33+G34+G35+G36+G37+G38+G39+G40+G41+G42+G43+G44+G45+G46+G47+G28</f>
        <v>647135.10000000009</v>
      </c>
      <c r="H27" s="374">
        <f t="shared" si="0"/>
        <v>-295864.89999999991</v>
      </c>
      <c r="I27" s="393">
        <f t="shared" si="1"/>
        <v>-0.31374856839872739</v>
      </c>
      <c r="J27" s="779"/>
      <c r="K27" s="374">
        <f t="shared" si="2"/>
        <v>-76112.899999999907</v>
      </c>
      <c r="L27" s="393">
        <f t="shared" si="3"/>
        <v>-0.10523762250293109</v>
      </c>
      <c r="M27" s="826"/>
    </row>
    <row r="28" spans="1:13" ht="47.25" x14ac:dyDescent="0.25">
      <c r="A28" s="377"/>
      <c r="B28" s="382" t="s">
        <v>872</v>
      </c>
      <c r="C28" s="376"/>
      <c r="D28" s="379"/>
      <c r="E28" s="379"/>
      <c r="F28" s="681"/>
      <c r="G28" s="682">
        <f>20924.38+5486.16</f>
        <v>26410.54</v>
      </c>
      <c r="H28" s="374"/>
      <c r="I28" s="393"/>
      <c r="J28" s="779"/>
      <c r="K28" s="374"/>
      <c r="L28" s="393"/>
      <c r="M28" s="826"/>
    </row>
    <row r="29" spans="1:13" ht="31.5" x14ac:dyDescent="0.25">
      <c r="A29" s="377"/>
      <c r="B29" s="375" t="s">
        <v>873</v>
      </c>
      <c r="C29" s="376"/>
      <c r="D29" s="381">
        <v>30000</v>
      </c>
      <c r="E29" s="381"/>
      <c r="F29" s="683">
        <v>30000</v>
      </c>
      <c r="G29" s="381">
        <f>7216+59674.27</f>
        <v>66890.26999999999</v>
      </c>
      <c r="H29" s="374">
        <f t="shared" si="0"/>
        <v>36890.26999999999</v>
      </c>
      <c r="I29" s="393">
        <f t="shared" si="1"/>
        <v>1.2296756666666664</v>
      </c>
      <c r="J29" s="779"/>
      <c r="K29" s="374">
        <f t="shared" si="2"/>
        <v>66890.26999999999</v>
      </c>
      <c r="L29" s="393" t="str">
        <f t="shared" si="3"/>
        <v>-</v>
      </c>
      <c r="M29" s="826"/>
    </row>
    <row r="30" spans="1:13" ht="31.5" x14ac:dyDescent="0.25">
      <c r="A30" s="377"/>
      <c r="B30" s="375" t="s">
        <v>747</v>
      </c>
      <c r="C30" s="376"/>
      <c r="D30" s="381">
        <v>34000</v>
      </c>
      <c r="E30" s="381"/>
      <c r="F30" s="683">
        <v>34000</v>
      </c>
      <c r="G30" s="381">
        <v>38115</v>
      </c>
      <c r="H30" s="374">
        <f t="shared" si="0"/>
        <v>4115</v>
      </c>
      <c r="I30" s="393">
        <f t="shared" si="1"/>
        <v>0.12102941176470589</v>
      </c>
      <c r="J30" s="779"/>
      <c r="K30" s="374">
        <f t="shared" si="2"/>
        <v>38115</v>
      </c>
      <c r="L30" s="393" t="str">
        <f t="shared" si="3"/>
        <v>-</v>
      </c>
      <c r="M30" s="826"/>
    </row>
    <row r="31" spans="1:13" ht="31.5" x14ac:dyDescent="0.25">
      <c r="A31" s="377"/>
      <c r="B31" s="375" t="s">
        <v>697</v>
      </c>
      <c r="C31" s="376"/>
      <c r="D31" s="381">
        <v>35000</v>
      </c>
      <c r="E31" s="381"/>
      <c r="F31" s="683">
        <v>35000</v>
      </c>
      <c r="G31" s="381"/>
      <c r="H31" s="374">
        <f t="shared" si="0"/>
        <v>-35000</v>
      </c>
      <c r="I31" s="393">
        <f t="shared" si="1"/>
        <v>-1</v>
      </c>
      <c r="J31" s="779"/>
      <c r="K31" s="374">
        <f t="shared" si="2"/>
        <v>0</v>
      </c>
      <c r="L31" s="393" t="str">
        <f t="shared" si="3"/>
        <v>-</v>
      </c>
      <c r="M31" s="826"/>
    </row>
    <row r="32" spans="1:13" ht="47.25" x14ac:dyDescent="0.25">
      <c r="A32" s="377"/>
      <c r="B32" s="383" t="s">
        <v>698</v>
      </c>
      <c r="C32" s="376"/>
      <c r="D32" s="381">
        <v>70000</v>
      </c>
      <c r="E32" s="381"/>
      <c r="F32" s="683">
        <v>70000</v>
      </c>
      <c r="G32" s="381">
        <v>60401</v>
      </c>
      <c r="H32" s="374">
        <f t="shared" si="0"/>
        <v>-9599</v>
      </c>
      <c r="I32" s="393">
        <f t="shared" si="1"/>
        <v>-0.13712857142857143</v>
      </c>
      <c r="J32" s="779"/>
      <c r="K32" s="374">
        <f t="shared" si="2"/>
        <v>60401</v>
      </c>
      <c r="L32" s="393" t="str">
        <f t="shared" si="3"/>
        <v>-</v>
      </c>
      <c r="M32" s="826"/>
    </row>
    <row r="33" spans="1:13" ht="31.5" x14ac:dyDescent="0.25">
      <c r="A33" s="377"/>
      <c r="B33" s="375" t="s">
        <v>608</v>
      </c>
      <c r="C33" s="376"/>
      <c r="D33" s="381">
        <v>25000</v>
      </c>
      <c r="E33" s="381"/>
      <c r="F33" s="683">
        <v>25000</v>
      </c>
      <c r="G33" s="381">
        <f>18783+7086</f>
        <v>25869</v>
      </c>
      <c r="H33" s="374">
        <f t="shared" si="0"/>
        <v>869</v>
      </c>
      <c r="I33" s="393">
        <f t="shared" si="1"/>
        <v>3.4759999999999999E-2</v>
      </c>
      <c r="J33" s="779"/>
      <c r="K33" s="374">
        <f t="shared" si="2"/>
        <v>25869</v>
      </c>
      <c r="L33" s="393" t="str">
        <f t="shared" si="3"/>
        <v>-</v>
      </c>
      <c r="M33" s="826"/>
    </row>
    <row r="34" spans="1:13" ht="78.75" x14ac:dyDescent="0.25">
      <c r="A34" s="377"/>
      <c r="B34" s="375" t="s">
        <v>699</v>
      </c>
      <c r="C34" s="376"/>
      <c r="D34" s="381">
        <v>67500</v>
      </c>
      <c r="E34" s="381"/>
      <c r="F34" s="683">
        <v>67500</v>
      </c>
      <c r="G34" s="381">
        <f>28178+46408-7086</f>
        <v>67500</v>
      </c>
      <c r="H34" s="374">
        <f t="shared" si="0"/>
        <v>0</v>
      </c>
      <c r="I34" s="393">
        <f t="shared" si="1"/>
        <v>0</v>
      </c>
      <c r="J34" s="779"/>
      <c r="K34" s="374">
        <f t="shared" si="2"/>
        <v>67500</v>
      </c>
      <c r="L34" s="393" t="str">
        <f t="shared" si="3"/>
        <v>-</v>
      </c>
      <c r="M34" s="826"/>
    </row>
    <row r="35" spans="1:13" ht="63" x14ac:dyDescent="0.25">
      <c r="A35" s="377"/>
      <c r="B35" s="375" t="s">
        <v>700</v>
      </c>
      <c r="C35" s="376"/>
      <c r="D35" s="381">
        <v>43000</v>
      </c>
      <c r="E35" s="381"/>
      <c r="F35" s="683">
        <v>43000</v>
      </c>
      <c r="G35" s="381">
        <v>11589</v>
      </c>
      <c r="H35" s="374">
        <f t="shared" si="0"/>
        <v>-31411</v>
      </c>
      <c r="I35" s="393">
        <f t="shared" si="1"/>
        <v>-0.73048837209302331</v>
      </c>
      <c r="J35" s="419"/>
      <c r="K35" s="374">
        <f t="shared" si="2"/>
        <v>11589</v>
      </c>
      <c r="L35" s="393" t="str">
        <f t="shared" si="3"/>
        <v>-</v>
      </c>
      <c r="M35" s="420"/>
    </row>
    <row r="36" spans="1:13" ht="47.25" x14ac:dyDescent="0.25">
      <c r="A36" s="377"/>
      <c r="B36" s="383" t="s">
        <v>701</v>
      </c>
      <c r="C36" s="376"/>
      <c r="D36" s="381">
        <v>35000</v>
      </c>
      <c r="E36" s="381"/>
      <c r="F36" s="683">
        <v>35000</v>
      </c>
      <c r="G36" s="381">
        <v>50805</v>
      </c>
      <c r="H36" s="374">
        <f t="shared" si="0"/>
        <v>15805</v>
      </c>
      <c r="I36" s="393">
        <f t="shared" si="1"/>
        <v>0.45157142857142857</v>
      </c>
      <c r="J36" s="419"/>
      <c r="K36" s="374">
        <f t="shared" si="2"/>
        <v>50805</v>
      </c>
      <c r="L36" s="393" t="str">
        <f t="shared" si="3"/>
        <v>-</v>
      </c>
      <c r="M36" s="420"/>
    </row>
    <row r="37" spans="1:13" ht="47.25" x14ac:dyDescent="0.25">
      <c r="A37" s="377"/>
      <c r="B37" s="375" t="s">
        <v>702</v>
      </c>
      <c r="C37" s="376"/>
      <c r="D37" s="381">
        <v>52500</v>
      </c>
      <c r="E37" s="381"/>
      <c r="F37" s="683">
        <v>52500</v>
      </c>
      <c r="G37" s="381">
        <f>37047+27888.54</f>
        <v>64935.54</v>
      </c>
      <c r="H37" s="374">
        <f t="shared" si="0"/>
        <v>12435.54</v>
      </c>
      <c r="I37" s="393">
        <f t="shared" si="1"/>
        <v>0.23686742857142859</v>
      </c>
      <c r="J37" s="419"/>
      <c r="K37" s="374">
        <f t="shared" si="2"/>
        <v>64935.54</v>
      </c>
      <c r="L37" s="393" t="str">
        <f t="shared" si="3"/>
        <v>-</v>
      </c>
      <c r="M37" s="420"/>
    </row>
    <row r="38" spans="1:13" ht="47.25" x14ac:dyDescent="0.25">
      <c r="A38" s="377"/>
      <c r="B38" s="375" t="s">
        <v>663</v>
      </c>
      <c r="C38" s="376"/>
      <c r="D38" s="381">
        <v>21000</v>
      </c>
      <c r="E38" s="381"/>
      <c r="F38" s="683">
        <v>21000</v>
      </c>
      <c r="G38" s="381">
        <v>25652</v>
      </c>
      <c r="H38" s="374">
        <f t="shared" si="0"/>
        <v>4652</v>
      </c>
      <c r="I38" s="393">
        <f t="shared" si="1"/>
        <v>0.22152380952380951</v>
      </c>
      <c r="J38" s="419"/>
      <c r="K38" s="374">
        <f t="shared" si="2"/>
        <v>25652</v>
      </c>
      <c r="L38" s="393" t="str">
        <f t="shared" si="3"/>
        <v>-</v>
      </c>
      <c r="M38" s="420"/>
    </row>
    <row r="39" spans="1:13" ht="31.5" x14ac:dyDescent="0.25">
      <c r="A39" s="377"/>
      <c r="B39" s="375" t="s">
        <v>703</v>
      </c>
      <c r="C39" s="376"/>
      <c r="D39" s="381">
        <v>100000</v>
      </c>
      <c r="E39" s="381"/>
      <c r="F39" s="683">
        <v>100000</v>
      </c>
      <c r="G39" s="381">
        <v>20366.75</v>
      </c>
      <c r="H39" s="374">
        <f t="shared" si="0"/>
        <v>-79633.25</v>
      </c>
      <c r="I39" s="393">
        <f t="shared" si="1"/>
        <v>-0.7963325</v>
      </c>
      <c r="J39" s="419"/>
      <c r="K39" s="374">
        <f t="shared" si="2"/>
        <v>20366.75</v>
      </c>
      <c r="L39" s="393" t="str">
        <f t="shared" si="3"/>
        <v>-</v>
      </c>
      <c r="M39" s="420"/>
    </row>
    <row r="40" spans="1:13" ht="31.5" x14ac:dyDescent="0.25">
      <c r="A40" s="377"/>
      <c r="B40" s="375" t="s">
        <v>704</v>
      </c>
      <c r="C40" s="376"/>
      <c r="D40" s="381">
        <v>12000</v>
      </c>
      <c r="E40" s="381"/>
      <c r="F40" s="683">
        <v>12000</v>
      </c>
      <c r="G40" s="381">
        <v>6351</v>
      </c>
      <c r="H40" s="374">
        <f t="shared" si="0"/>
        <v>-5649</v>
      </c>
      <c r="I40" s="393">
        <f t="shared" si="1"/>
        <v>-0.47075</v>
      </c>
      <c r="J40" s="419"/>
      <c r="K40" s="374">
        <f t="shared" si="2"/>
        <v>6351</v>
      </c>
      <c r="L40" s="393" t="str">
        <f t="shared" si="3"/>
        <v>-</v>
      </c>
      <c r="M40" s="420"/>
    </row>
    <row r="41" spans="1:13" ht="31.5" x14ac:dyDescent="0.25">
      <c r="A41" s="377"/>
      <c r="B41" s="375" t="s">
        <v>705</v>
      </c>
      <c r="C41" s="376"/>
      <c r="D41" s="381">
        <v>10000</v>
      </c>
      <c r="E41" s="381"/>
      <c r="F41" s="683">
        <v>10000</v>
      </c>
      <c r="G41" s="381">
        <v>10043</v>
      </c>
      <c r="H41" s="374">
        <f t="shared" si="0"/>
        <v>43</v>
      </c>
      <c r="I41" s="393">
        <f t="shared" si="1"/>
        <v>4.3E-3</v>
      </c>
      <c r="J41" s="419"/>
      <c r="K41" s="374">
        <f t="shared" si="2"/>
        <v>10043</v>
      </c>
      <c r="L41" s="393" t="str">
        <f t="shared" si="3"/>
        <v>-</v>
      </c>
      <c r="M41" s="420"/>
    </row>
    <row r="42" spans="1:13" ht="78.75" x14ac:dyDescent="0.25">
      <c r="A42" s="377"/>
      <c r="B42" s="375" t="s">
        <v>706</v>
      </c>
      <c r="C42" s="376"/>
      <c r="D42" s="381">
        <v>190000</v>
      </c>
      <c r="E42" s="381"/>
      <c r="F42" s="683">
        <v>190000</v>
      </c>
      <c r="G42" s="381">
        <f>35378+10988</f>
        <v>46366</v>
      </c>
      <c r="H42" s="374">
        <f t="shared" si="0"/>
        <v>-143634</v>
      </c>
      <c r="I42" s="393">
        <f t="shared" si="1"/>
        <v>-0.75596842105263162</v>
      </c>
      <c r="J42" s="419"/>
      <c r="K42" s="374">
        <f t="shared" si="2"/>
        <v>46366</v>
      </c>
      <c r="L42" s="393" t="str">
        <f t="shared" si="3"/>
        <v>-</v>
      </c>
      <c r="M42" s="420"/>
    </row>
    <row r="43" spans="1:13" ht="31.5" x14ac:dyDescent="0.25">
      <c r="A43" s="377"/>
      <c r="B43" s="375" t="s">
        <v>874</v>
      </c>
      <c r="C43" s="376"/>
      <c r="D43" s="381">
        <v>82000</v>
      </c>
      <c r="E43" s="381"/>
      <c r="F43" s="683">
        <v>82000</v>
      </c>
      <c r="G43" s="381">
        <v>31097</v>
      </c>
      <c r="H43" s="374">
        <f t="shared" si="0"/>
        <v>-50903</v>
      </c>
      <c r="I43" s="393">
        <f t="shared" si="1"/>
        <v>-0.62076829268292688</v>
      </c>
      <c r="J43" s="419"/>
      <c r="K43" s="374">
        <f t="shared" si="2"/>
        <v>31097</v>
      </c>
      <c r="L43" s="393" t="str">
        <f t="shared" si="3"/>
        <v>-</v>
      </c>
      <c r="M43" s="420"/>
    </row>
    <row r="44" spans="1:13" ht="31.5" x14ac:dyDescent="0.25">
      <c r="A44" s="377"/>
      <c r="B44" s="375" t="s">
        <v>707</v>
      </c>
      <c r="C44" s="376"/>
      <c r="D44" s="381">
        <v>42000</v>
      </c>
      <c r="E44" s="381"/>
      <c r="F44" s="683">
        <v>42000</v>
      </c>
      <c r="G44" s="381"/>
      <c r="H44" s="374">
        <f t="shared" si="0"/>
        <v>-42000</v>
      </c>
      <c r="I44" s="393">
        <f t="shared" si="1"/>
        <v>-1</v>
      </c>
      <c r="J44" s="419"/>
      <c r="K44" s="374">
        <f t="shared" si="2"/>
        <v>0</v>
      </c>
      <c r="L44" s="393" t="str">
        <f t="shared" si="3"/>
        <v>-</v>
      </c>
      <c r="M44" s="420"/>
    </row>
    <row r="45" spans="1:13" ht="47.25" x14ac:dyDescent="0.25">
      <c r="A45" s="377"/>
      <c r="B45" s="383" t="s">
        <v>708</v>
      </c>
      <c r="C45" s="376"/>
      <c r="D45" s="381">
        <v>70000</v>
      </c>
      <c r="E45" s="381"/>
      <c r="F45" s="683">
        <v>70000</v>
      </c>
      <c r="G45" s="381">
        <v>45073</v>
      </c>
      <c r="H45" s="374">
        <f t="shared" si="0"/>
        <v>-24927</v>
      </c>
      <c r="I45" s="393">
        <f t="shared" si="1"/>
        <v>-0.35610000000000003</v>
      </c>
      <c r="J45" s="419"/>
      <c r="K45" s="374">
        <f t="shared" si="2"/>
        <v>45073</v>
      </c>
      <c r="L45" s="393" t="str">
        <f t="shared" si="3"/>
        <v>-</v>
      </c>
      <c r="M45" s="420"/>
    </row>
    <row r="46" spans="1:13" ht="47.25" x14ac:dyDescent="0.25">
      <c r="A46" s="377"/>
      <c r="B46" s="383" t="s">
        <v>709</v>
      </c>
      <c r="C46" s="376"/>
      <c r="D46" s="381">
        <v>24000</v>
      </c>
      <c r="E46" s="381"/>
      <c r="F46" s="683">
        <v>24000</v>
      </c>
      <c r="G46" s="381">
        <v>30855</v>
      </c>
      <c r="H46" s="374">
        <f t="shared" si="0"/>
        <v>6855</v>
      </c>
      <c r="I46" s="393">
        <f t="shared" si="1"/>
        <v>0.28562500000000002</v>
      </c>
      <c r="J46" s="419"/>
      <c r="K46" s="374">
        <f t="shared" si="2"/>
        <v>30855</v>
      </c>
      <c r="L46" s="393" t="str">
        <f t="shared" si="3"/>
        <v>-</v>
      </c>
      <c r="M46" s="420"/>
    </row>
    <row r="47" spans="1:13" ht="15.75" x14ac:dyDescent="0.25">
      <c r="A47" s="377"/>
      <c r="B47" s="414" t="s">
        <v>748</v>
      </c>
      <c r="C47" s="376"/>
      <c r="D47" s="380"/>
      <c r="E47" s="380"/>
      <c r="F47" s="683"/>
      <c r="G47" s="380">
        <v>18816</v>
      </c>
      <c r="H47" s="374">
        <f t="shared" si="0"/>
        <v>18816</v>
      </c>
      <c r="I47" s="393" t="str">
        <f t="shared" si="1"/>
        <v>-</v>
      </c>
      <c r="J47" s="419"/>
      <c r="K47" s="374">
        <f t="shared" si="2"/>
        <v>18816</v>
      </c>
      <c r="L47" s="393" t="str">
        <f t="shared" si="3"/>
        <v>-</v>
      </c>
      <c r="M47" s="420"/>
    </row>
    <row r="48" spans="1:13" ht="47.25" x14ac:dyDescent="0.25">
      <c r="A48" s="377">
        <v>53120</v>
      </c>
      <c r="B48" s="384" t="s">
        <v>297</v>
      </c>
      <c r="C48" s="376">
        <v>0</v>
      </c>
      <c r="D48" s="376">
        <v>0</v>
      </c>
      <c r="E48" s="376">
        <v>0</v>
      </c>
      <c r="F48" s="376">
        <v>0</v>
      </c>
      <c r="G48" s="684">
        <f>G49+G50+G51+G52+G53+G54+G55+G56+G57</f>
        <v>66354.460000000021</v>
      </c>
      <c r="H48" s="374">
        <f t="shared" si="0"/>
        <v>66354.460000000021</v>
      </c>
      <c r="I48" s="393" t="str">
        <f t="shared" si="1"/>
        <v>-</v>
      </c>
      <c r="J48" s="419"/>
      <c r="K48" s="374">
        <f t="shared" si="2"/>
        <v>66354.460000000021</v>
      </c>
      <c r="L48" s="393" t="str">
        <f t="shared" si="3"/>
        <v>-</v>
      </c>
      <c r="M48" s="420"/>
    </row>
    <row r="49" spans="1:13" ht="31.5" x14ac:dyDescent="0.25">
      <c r="A49" s="377"/>
      <c r="B49" s="384" t="s">
        <v>875</v>
      </c>
      <c r="C49" s="376"/>
      <c r="D49" s="376"/>
      <c r="E49" s="376"/>
      <c r="F49" s="376"/>
      <c r="G49" s="684">
        <v>4219.8100000000004</v>
      </c>
      <c r="H49" s="374"/>
      <c r="I49" s="393"/>
      <c r="J49" s="419"/>
      <c r="K49" s="374"/>
      <c r="L49" s="393"/>
      <c r="M49" s="420"/>
    </row>
    <row r="50" spans="1:13" ht="47.25" x14ac:dyDescent="0.25">
      <c r="A50" s="377"/>
      <c r="B50" s="384" t="s">
        <v>876</v>
      </c>
      <c r="C50" s="376"/>
      <c r="D50" s="376"/>
      <c r="E50" s="376"/>
      <c r="F50" s="376"/>
      <c r="G50" s="684">
        <v>25727.7</v>
      </c>
      <c r="H50" s="374"/>
      <c r="I50" s="393"/>
      <c r="J50" s="419"/>
      <c r="K50" s="374"/>
      <c r="L50" s="393"/>
      <c r="M50" s="420"/>
    </row>
    <row r="51" spans="1:13" ht="47.25" x14ac:dyDescent="0.25">
      <c r="A51" s="377"/>
      <c r="B51" s="384" t="s">
        <v>876</v>
      </c>
      <c r="C51" s="376"/>
      <c r="D51" s="376"/>
      <c r="E51" s="376"/>
      <c r="F51" s="376"/>
      <c r="G51" s="684">
        <v>16008.23</v>
      </c>
      <c r="H51" s="374"/>
      <c r="I51" s="393"/>
      <c r="J51" s="419"/>
      <c r="K51" s="374"/>
      <c r="L51" s="393"/>
      <c r="M51" s="420"/>
    </row>
    <row r="52" spans="1:13" ht="47.25" x14ac:dyDescent="0.25">
      <c r="A52" s="377"/>
      <c r="B52" s="384" t="s">
        <v>876</v>
      </c>
      <c r="C52" s="376"/>
      <c r="D52" s="376"/>
      <c r="E52" s="376"/>
      <c r="F52" s="376"/>
      <c r="G52" s="684">
        <v>5200.0200000000004</v>
      </c>
      <c r="H52" s="374"/>
      <c r="I52" s="393"/>
      <c r="J52" s="419"/>
      <c r="K52" s="374"/>
      <c r="L52" s="393"/>
      <c r="M52" s="420"/>
    </row>
    <row r="53" spans="1:13" ht="47.25" x14ac:dyDescent="0.25">
      <c r="A53" s="377"/>
      <c r="B53" s="384" t="s">
        <v>877</v>
      </c>
      <c r="C53" s="376"/>
      <c r="D53" s="376"/>
      <c r="E53" s="376"/>
      <c r="F53" s="376"/>
      <c r="G53" s="684">
        <v>6289.02</v>
      </c>
      <c r="H53" s="374"/>
      <c r="I53" s="393"/>
      <c r="J53" s="419"/>
      <c r="K53" s="374"/>
      <c r="L53" s="393"/>
      <c r="M53" s="420"/>
    </row>
    <row r="54" spans="1:13" ht="63" x14ac:dyDescent="0.25">
      <c r="A54" s="377"/>
      <c r="B54" s="384" t="s">
        <v>878</v>
      </c>
      <c r="C54" s="376"/>
      <c r="D54" s="376"/>
      <c r="E54" s="376"/>
      <c r="F54" s="376"/>
      <c r="G54" s="684">
        <v>1879.58</v>
      </c>
      <c r="H54" s="374"/>
      <c r="I54" s="393"/>
      <c r="J54" s="419"/>
      <c r="K54" s="374"/>
      <c r="L54" s="393"/>
      <c r="M54" s="420"/>
    </row>
    <row r="55" spans="1:13" ht="78.75" x14ac:dyDescent="0.25">
      <c r="A55" s="377"/>
      <c r="B55" s="384" t="s">
        <v>879</v>
      </c>
      <c r="C55" s="376"/>
      <c r="D55" s="376"/>
      <c r="E55" s="376"/>
      <c r="F55" s="376"/>
      <c r="G55" s="684">
        <v>2577.3000000000002</v>
      </c>
      <c r="H55" s="374"/>
      <c r="I55" s="393"/>
      <c r="J55" s="419"/>
      <c r="K55" s="374"/>
      <c r="L55" s="393"/>
      <c r="M55" s="420"/>
    </row>
    <row r="56" spans="1:13" ht="78.75" x14ac:dyDescent="0.25">
      <c r="A56" s="377"/>
      <c r="B56" s="384" t="s">
        <v>880</v>
      </c>
      <c r="C56" s="376"/>
      <c r="D56" s="376"/>
      <c r="E56" s="376"/>
      <c r="F56" s="376"/>
      <c r="G56" s="684">
        <v>3363.8</v>
      </c>
      <c r="H56" s="374"/>
      <c r="I56" s="393"/>
      <c r="J56" s="419"/>
      <c r="K56" s="374"/>
      <c r="L56" s="393"/>
      <c r="M56" s="420"/>
    </row>
    <row r="57" spans="1:13" ht="78.75" x14ac:dyDescent="0.25">
      <c r="A57" s="377"/>
      <c r="B57" s="384" t="s">
        <v>881</v>
      </c>
      <c r="C57" s="376"/>
      <c r="D57" s="376"/>
      <c r="E57" s="376"/>
      <c r="F57" s="376"/>
      <c r="G57" s="684">
        <v>1089</v>
      </c>
      <c r="H57" s="374"/>
      <c r="I57" s="393"/>
      <c r="J57" s="419"/>
      <c r="K57" s="374"/>
      <c r="L57" s="393"/>
      <c r="M57" s="422"/>
    </row>
    <row r="58" spans="1:13" ht="34.5" x14ac:dyDescent="0.25">
      <c r="A58" s="406">
        <v>53200</v>
      </c>
      <c r="B58" s="407" t="s">
        <v>733</v>
      </c>
      <c r="C58" s="529">
        <v>0</v>
      </c>
      <c r="D58" s="529">
        <v>0</v>
      </c>
      <c r="E58" s="529">
        <v>0</v>
      </c>
      <c r="F58" s="529">
        <v>0</v>
      </c>
      <c r="G58" s="529">
        <v>0</v>
      </c>
      <c r="H58" s="374">
        <f t="shared" si="0"/>
        <v>0</v>
      </c>
      <c r="I58" s="393" t="str">
        <f t="shared" si="1"/>
        <v>-</v>
      </c>
      <c r="J58" s="419"/>
      <c r="K58" s="374">
        <f t="shared" si="2"/>
        <v>0</v>
      </c>
      <c r="L58" s="393" t="str">
        <f t="shared" si="3"/>
        <v>-</v>
      </c>
      <c r="M58" s="830"/>
    </row>
    <row r="59" spans="1:13" ht="15.75" x14ac:dyDescent="0.25">
      <c r="A59" s="377"/>
      <c r="B59" s="378"/>
      <c r="C59" s="376"/>
      <c r="D59" s="380"/>
      <c r="E59" s="380"/>
      <c r="F59" s="380"/>
      <c r="G59" s="380"/>
      <c r="H59" s="374">
        <f t="shared" si="0"/>
        <v>0</v>
      </c>
      <c r="I59" s="393" t="str">
        <f t="shared" si="1"/>
        <v>-</v>
      </c>
      <c r="J59" s="419"/>
      <c r="K59" s="374">
        <f t="shared" si="2"/>
        <v>0</v>
      </c>
      <c r="L59" s="393" t="str">
        <f t="shared" si="3"/>
        <v>-</v>
      </c>
      <c r="M59" s="831"/>
    </row>
    <row r="60" spans="1:13" ht="34.5" x14ac:dyDescent="0.25">
      <c r="A60" s="406">
        <v>53300</v>
      </c>
      <c r="B60" s="407" t="s">
        <v>734</v>
      </c>
      <c r="C60" s="528">
        <v>8017</v>
      </c>
      <c r="D60" s="528">
        <v>111000</v>
      </c>
      <c r="E60" s="528">
        <v>8017</v>
      </c>
      <c r="F60" s="528">
        <v>111000</v>
      </c>
      <c r="G60" s="528">
        <f>G62+G63+G65+G64+G61</f>
        <v>62780.47</v>
      </c>
      <c r="H60" s="374">
        <f t="shared" si="0"/>
        <v>-48219.53</v>
      </c>
      <c r="I60" s="393">
        <f t="shared" si="1"/>
        <v>-0.43441018018018018</v>
      </c>
      <c r="J60" s="419"/>
      <c r="K60" s="374">
        <f t="shared" si="2"/>
        <v>54763.47</v>
      </c>
      <c r="L60" s="393">
        <f t="shared" si="3"/>
        <v>6.8309180491455654</v>
      </c>
      <c r="M60" s="831"/>
    </row>
    <row r="61" spans="1:13" ht="15.75" x14ac:dyDescent="0.25">
      <c r="A61" s="406"/>
      <c r="B61" s="407" t="s">
        <v>882</v>
      </c>
      <c r="C61" s="528"/>
      <c r="D61" s="528"/>
      <c r="E61" s="528"/>
      <c r="F61" s="528"/>
      <c r="G61" s="682">
        <v>5749.27</v>
      </c>
      <c r="H61" s="374"/>
      <c r="I61" s="393"/>
      <c r="J61" s="419"/>
      <c r="K61" s="374"/>
      <c r="L61" s="393"/>
      <c r="M61" s="831"/>
    </row>
    <row r="62" spans="1:13" ht="31.5" x14ac:dyDescent="0.25">
      <c r="A62" s="377"/>
      <c r="B62" s="378" t="s">
        <v>749</v>
      </c>
      <c r="C62" s="379"/>
      <c r="D62" s="379"/>
      <c r="E62" s="379"/>
      <c r="F62" s="379">
        <v>0</v>
      </c>
      <c r="G62" s="379">
        <v>8759</v>
      </c>
      <c r="H62" s="374"/>
      <c r="I62" s="393"/>
      <c r="J62" s="419"/>
      <c r="K62" s="374"/>
      <c r="L62" s="393"/>
      <c r="M62" s="831"/>
    </row>
    <row r="63" spans="1:13" ht="31.5" x14ac:dyDescent="0.25">
      <c r="A63" s="377"/>
      <c r="B63" s="375" t="s">
        <v>710</v>
      </c>
      <c r="C63" s="376"/>
      <c r="D63" s="381">
        <v>41000</v>
      </c>
      <c r="E63" s="381"/>
      <c r="F63" s="381">
        <v>41000</v>
      </c>
      <c r="G63" s="381">
        <f>3640+25644</f>
        <v>29284</v>
      </c>
      <c r="H63" s="374">
        <f t="shared" si="0"/>
        <v>-11716</v>
      </c>
      <c r="I63" s="393">
        <f t="shared" si="1"/>
        <v>-0.28575609756097559</v>
      </c>
      <c r="J63" s="419"/>
      <c r="K63" s="374">
        <f t="shared" si="2"/>
        <v>29284</v>
      </c>
      <c r="L63" s="393" t="str">
        <f t="shared" si="3"/>
        <v>-</v>
      </c>
      <c r="M63" s="831"/>
    </row>
    <row r="64" spans="1:13" ht="31.5" x14ac:dyDescent="0.25">
      <c r="A64" s="377"/>
      <c r="B64" s="375" t="s">
        <v>883</v>
      </c>
      <c r="C64" s="376"/>
      <c r="D64" s="381"/>
      <c r="E64" s="381"/>
      <c r="F64" s="381"/>
      <c r="G64" s="381">
        <v>1960.2</v>
      </c>
      <c r="H64" s="374"/>
      <c r="I64" s="393"/>
      <c r="J64" s="419"/>
      <c r="K64" s="374"/>
      <c r="L64" s="393"/>
      <c r="M64" s="831"/>
    </row>
    <row r="65" spans="1:13" ht="15.75" x14ac:dyDescent="0.25">
      <c r="A65" s="377"/>
      <c r="B65" s="375" t="s">
        <v>711</v>
      </c>
      <c r="C65" s="376"/>
      <c r="D65" s="381">
        <v>70000</v>
      </c>
      <c r="E65" s="381"/>
      <c r="F65" s="381">
        <v>70000</v>
      </c>
      <c r="G65" s="381">
        <f>3766+2055+11207</f>
        <v>17028</v>
      </c>
      <c r="H65" s="374">
        <f t="shared" si="0"/>
        <v>-52972</v>
      </c>
      <c r="I65" s="393">
        <f t="shared" si="1"/>
        <v>-0.75674285714285716</v>
      </c>
      <c r="J65" s="419"/>
      <c r="K65" s="374">
        <f t="shared" si="2"/>
        <v>17028</v>
      </c>
      <c r="L65" s="393" t="str">
        <f t="shared" si="3"/>
        <v>-</v>
      </c>
      <c r="M65" s="831"/>
    </row>
    <row r="66" spans="1:13" ht="50.25" x14ac:dyDescent="0.25">
      <c r="A66" s="406">
        <v>53400</v>
      </c>
      <c r="B66" s="407" t="s">
        <v>735</v>
      </c>
      <c r="C66" s="528">
        <v>44907</v>
      </c>
      <c r="D66" s="528">
        <v>39300</v>
      </c>
      <c r="E66" s="528">
        <v>44907</v>
      </c>
      <c r="F66" s="685">
        <f>F67+F68+F69+F70+F71+F72+F73+F74+F75+F76+F77+F79</f>
        <v>39300</v>
      </c>
      <c r="G66" s="528">
        <f>G67+G68+G69+G70+G71+G72+G73+G74+G75+G76+G78+G79</f>
        <v>13636.91</v>
      </c>
      <c r="H66" s="374">
        <f t="shared" si="0"/>
        <v>-25663.09</v>
      </c>
      <c r="I66" s="393">
        <f t="shared" si="1"/>
        <v>-0.65300483460559799</v>
      </c>
      <c r="J66" s="419"/>
      <c r="K66" s="374">
        <f t="shared" si="2"/>
        <v>-31270.09</v>
      </c>
      <c r="L66" s="393">
        <f t="shared" si="3"/>
        <v>-0.69632997082860137</v>
      </c>
      <c r="M66" s="831"/>
    </row>
    <row r="67" spans="1:13" ht="47.25" x14ac:dyDescent="0.25">
      <c r="A67" s="415"/>
      <c r="B67" s="383" t="s">
        <v>712</v>
      </c>
      <c r="C67" s="376"/>
      <c r="D67" s="381">
        <v>2200</v>
      </c>
      <c r="E67" s="381"/>
      <c r="F67" s="380">
        <v>2200</v>
      </c>
      <c r="G67" s="381">
        <v>908</v>
      </c>
      <c r="H67" s="374">
        <f t="shared" si="0"/>
        <v>-1292</v>
      </c>
      <c r="I67" s="393">
        <f t="shared" si="1"/>
        <v>-0.58727272727272728</v>
      </c>
      <c r="J67" s="419"/>
      <c r="K67" s="374">
        <f t="shared" si="2"/>
        <v>908</v>
      </c>
      <c r="L67" s="393" t="str">
        <f t="shared" si="3"/>
        <v>-</v>
      </c>
      <c r="M67" s="831"/>
    </row>
    <row r="68" spans="1:13" ht="47.25" x14ac:dyDescent="0.25">
      <c r="A68" s="415"/>
      <c r="B68" s="383" t="s">
        <v>713</v>
      </c>
      <c r="C68" s="376"/>
      <c r="D68" s="381">
        <v>4500</v>
      </c>
      <c r="E68" s="381"/>
      <c r="F68" s="380">
        <v>4500</v>
      </c>
      <c r="G68" s="381"/>
      <c r="H68" s="374">
        <f t="shared" si="0"/>
        <v>-4500</v>
      </c>
      <c r="I68" s="393">
        <f t="shared" si="1"/>
        <v>-1</v>
      </c>
      <c r="J68" s="419"/>
      <c r="K68" s="374">
        <f t="shared" si="2"/>
        <v>0</v>
      </c>
      <c r="L68" s="393" t="str">
        <f t="shared" si="3"/>
        <v>-</v>
      </c>
      <c r="M68" s="831"/>
    </row>
    <row r="69" spans="1:13" ht="31.5" x14ac:dyDescent="0.25">
      <c r="A69" s="415"/>
      <c r="B69" s="383" t="s">
        <v>714</v>
      </c>
      <c r="C69" s="376"/>
      <c r="D69" s="381">
        <v>2400</v>
      </c>
      <c r="E69" s="381"/>
      <c r="F69" s="381">
        <v>2400</v>
      </c>
      <c r="G69" s="381"/>
      <c r="H69" s="374">
        <f t="shared" si="0"/>
        <v>-2400</v>
      </c>
      <c r="I69" s="393">
        <f>IFERROR(H69/ABS(F69), "-")</f>
        <v>-1</v>
      </c>
      <c r="J69" s="419"/>
      <c r="K69" s="374">
        <f t="shared" si="2"/>
        <v>0</v>
      </c>
      <c r="L69" s="393" t="str">
        <f t="shared" si="3"/>
        <v>-</v>
      </c>
      <c r="M69" s="831"/>
    </row>
    <row r="70" spans="1:13" ht="31.5" x14ac:dyDescent="0.25">
      <c r="A70" s="415"/>
      <c r="B70" s="383" t="s">
        <v>715</v>
      </c>
      <c r="C70" s="376"/>
      <c r="D70" s="381">
        <v>2800</v>
      </c>
      <c r="E70" s="381"/>
      <c r="F70" s="381">
        <v>2800</v>
      </c>
      <c r="G70" s="381"/>
      <c r="H70" s="374">
        <f t="shared" si="0"/>
        <v>-2800</v>
      </c>
      <c r="I70" s="393">
        <f t="shared" si="1"/>
        <v>-1</v>
      </c>
      <c r="J70" s="419"/>
      <c r="K70" s="374">
        <f t="shared" si="2"/>
        <v>0</v>
      </c>
      <c r="L70" s="393" t="str">
        <f t="shared" si="3"/>
        <v>-</v>
      </c>
      <c r="M70" s="831"/>
    </row>
    <row r="71" spans="1:13" ht="31.5" x14ac:dyDescent="0.25">
      <c r="A71" s="415"/>
      <c r="B71" s="383" t="s">
        <v>716</v>
      </c>
      <c r="C71" s="376"/>
      <c r="D71" s="381">
        <v>1700</v>
      </c>
      <c r="E71" s="381"/>
      <c r="F71" s="381">
        <v>1700</v>
      </c>
      <c r="G71" s="381"/>
      <c r="H71" s="374">
        <f t="shared" si="0"/>
        <v>-1700</v>
      </c>
      <c r="I71" s="393">
        <f t="shared" si="1"/>
        <v>-1</v>
      </c>
      <c r="J71" s="419"/>
      <c r="K71" s="374">
        <f t="shared" si="2"/>
        <v>0</v>
      </c>
      <c r="L71" s="393" t="str">
        <f t="shared" si="3"/>
        <v>-</v>
      </c>
      <c r="M71" s="831"/>
    </row>
    <row r="72" spans="1:13" ht="15.75" x14ac:dyDescent="0.25">
      <c r="A72" s="415"/>
      <c r="B72" s="383" t="s">
        <v>664</v>
      </c>
      <c r="C72" s="376"/>
      <c r="D72" s="381">
        <v>2850</v>
      </c>
      <c r="E72" s="381"/>
      <c r="F72" s="381">
        <v>2850</v>
      </c>
      <c r="G72" s="381"/>
      <c r="H72" s="374">
        <f t="shared" si="0"/>
        <v>-2850</v>
      </c>
      <c r="I72" s="393">
        <f t="shared" si="1"/>
        <v>-1</v>
      </c>
      <c r="J72" s="419"/>
      <c r="K72" s="374">
        <f t="shared" si="2"/>
        <v>0</v>
      </c>
      <c r="L72" s="393" t="str">
        <f t="shared" si="3"/>
        <v>-</v>
      </c>
      <c r="M72" s="831"/>
    </row>
    <row r="73" spans="1:13" ht="15.75" x14ac:dyDescent="0.25">
      <c r="A73" s="415"/>
      <c r="B73" s="383" t="s">
        <v>717</v>
      </c>
      <c r="C73" s="376"/>
      <c r="D73" s="381">
        <v>5700</v>
      </c>
      <c r="E73" s="381"/>
      <c r="F73" s="381">
        <v>5700</v>
      </c>
      <c r="G73" s="381">
        <f>2541+4499</f>
        <v>7040</v>
      </c>
      <c r="H73" s="374">
        <f t="shared" si="0"/>
        <v>1340</v>
      </c>
      <c r="I73" s="393">
        <f t="shared" si="1"/>
        <v>0.23508771929824562</v>
      </c>
      <c r="J73" s="419"/>
      <c r="K73" s="374">
        <f t="shared" si="2"/>
        <v>7040</v>
      </c>
      <c r="L73" s="393" t="str">
        <f t="shared" si="3"/>
        <v>-</v>
      </c>
      <c r="M73" s="831"/>
    </row>
    <row r="74" spans="1:13" ht="31.5" x14ac:dyDescent="0.25">
      <c r="A74" s="415"/>
      <c r="B74" s="383" t="s">
        <v>718</v>
      </c>
      <c r="C74" s="376"/>
      <c r="D74" s="381">
        <v>1500</v>
      </c>
      <c r="E74" s="381"/>
      <c r="F74" s="381">
        <v>1500</v>
      </c>
      <c r="G74" s="381">
        <v>1812.5</v>
      </c>
      <c r="H74" s="374">
        <f t="shared" si="0"/>
        <v>312.5</v>
      </c>
      <c r="I74" s="393">
        <f t="shared" si="1"/>
        <v>0.20833333333333334</v>
      </c>
      <c r="J74" s="419"/>
      <c r="K74" s="374">
        <f t="shared" si="2"/>
        <v>1812.5</v>
      </c>
      <c r="L74" s="393" t="str">
        <f t="shared" si="3"/>
        <v>-</v>
      </c>
      <c r="M74" s="831"/>
    </row>
    <row r="75" spans="1:13" ht="15.75" x14ac:dyDescent="0.25">
      <c r="A75" s="415"/>
      <c r="B75" s="383" t="s">
        <v>665</v>
      </c>
      <c r="C75" s="376"/>
      <c r="D75" s="381">
        <v>4800</v>
      </c>
      <c r="E75" s="381"/>
      <c r="F75" s="381">
        <v>4800</v>
      </c>
      <c r="G75" s="381">
        <f>1309+761</f>
        <v>2070</v>
      </c>
      <c r="H75" s="374">
        <f t="shared" si="0"/>
        <v>-2730</v>
      </c>
      <c r="I75" s="393">
        <f t="shared" si="1"/>
        <v>-0.56874999999999998</v>
      </c>
      <c r="J75" s="419"/>
      <c r="K75" s="374">
        <f t="shared" si="2"/>
        <v>2070</v>
      </c>
      <c r="L75" s="393" t="str">
        <f t="shared" si="3"/>
        <v>-</v>
      </c>
      <c r="M75" s="831"/>
    </row>
    <row r="76" spans="1:13" ht="15.75" x14ac:dyDescent="0.25">
      <c r="A76" s="415"/>
      <c r="B76" s="383" t="s">
        <v>668</v>
      </c>
      <c r="C76" s="376"/>
      <c r="D76" s="381">
        <v>4400</v>
      </c>
      <c r="E76" s="381"/>
      <c r="F76" s="381">
        <v>4400</v>
      </c>
      <c r="G76" s="381">
        <v>571</v>
      </c>
      <c r="H76" s="374">
        <f t="shared" si="0"/>
        <v>-3829</v>
      </c>
      <c r="I76" s="393">
        <f t="shared" si="1"/>
        <v>-0.87022727272727274</v>
      </c>
      <c r="J76" s="419"/>
      <c r="K76" s="374">
        <f t="shared" si="2"/>
        <v>571</v>
      </c>
      <c r="L76" s="393" t="str">
        <f t="shared" si="3"/>
        <v>-</v>
      </c>
      <c r="M76" s="831"/>
    </row>
    <row r="77" spans="1:13" ht="31.5" x14ac:dyDescent="0.25">
      <c r="A77" s="415"/>
      <c r="B77" s="383" t="s">
        <v>719</v>
      </c>
      <c r="C77" s="376"/>
      <c r="D77" s="381">
        <v>1200</v>
      </c>
      <c r="E77" s="381"/>
      <c r="F77" s="381">
        <v>1200</v>
      </c>
      <c r="G77" s="418"/>
      <c r="H77" s="374">
        <f>G78-F77</f>
        <v>35.410000000000082</v>
      </c>
      <c r="I77" s="393">
        <f t="shared" si="1"/>
        <v>2.95083333333334E-2</v>
      </c>
      <c r="J77" s="419"/>
      <c r="K77" s="374">
        <f>G78-E77</f>
        <v>1235.4100000000001</v>
      </c>
      <c r="L77" s="393" t="str">
        <f t="shared" si="3"/>
        <v>-</v>
      </c>
      <c r="M77" s="831"/>
    </row>
    <row r="78" spans="1:13" ht="15.75" x14ac:dyDescent="0.25">
      <c r="A78" s="415"/>
      <c r="B78" s="383" t="s">
        <v>884</v>
      </c>
      <c r="C78" s="376"/>
      <c r="D78" s="381"/>
      <c r="E78" s="381"/>
      <c r="F78" s="381"/>
      <c r="G78" s="682">
        <v>1235.4100000000001</v>
      </c>
      <c r="H78" s="374"/>
      <c r="I78" s="393"/>
      <c r="J78" s="419"/>
      <c r="K78" s="374"/>
      <c r="L78" s="393"/>
      <c r="M78" s="831"/>
    </row>
    <row r="79" spans="1:13" ht="15.75" x14ac:dyDescent="0.25">
      <c r="A79" s="415"/>
      <c r="B79" s="383" t="s">
        <v>720</v>
      </c>
      <c r="C79" s="376">
        <v>0</v>
      </c>
      <c r="D79" s="381">
        <v>5250</v>
      </c>
      <c r="E79" s="381"/>
      <c r="F79" s="381">
        <v>5250</v>
      </c>
      <c r="G79" s="381"/>
      <c r="H79" s="374">
        <f t="shared" si="0"/>
        <v>-5250</v>
      </c>
      <c r="I79" s="393">
        <f t="shared" si="1"/>
        <v>-1</v>
      </c>
      <c r="J79" s="421"/>
      <c r="K79" s="374">
        <f t="shared" si="2"/>
        <v>0</v>
      </c>
      <c r="L79" s="393" t="str">
        <f t="shared" si="3"/>
        <v>-</v>
      </c>
      <c r="M79" s="832"/>
    </row>
    <row r="80" spans="1:13" ht="15.75" x14ac:dyDescent="0.25">
      <c r="A80" s="385">
        <v>50000</v>
      </c>
      <c r="B80" s="386" t="s">
        <v>295</v>
      </c>
      <c r="C80" s="387">
        <v>1338102</v>
      </c>
      <c r="D80" s="387">
        <v>1293300</v>
      </c>
      <c r="E80" s="387">
        <f>E25+E17+E4</f>
        <v>1338102</v>
      </c>
      <c r="F80" s="686">
        <f>F25+F17+F4</f>
        <v>1293300</v>
      </c>
      <c r="G80" s="387">
        <f>G25+G17+G4</f>
        <v>1088686.94</v>
      </c>
      <c r="H80" s="374">
        <f t="shared" si="0"/>
        <v>-204613.06000000006</v>
      </c>
      <c r="I80" s="393">
        <f t="shared" si="1"/>
        <v>-0.15821005180545894</v>
      </c>
      <c r="J80" s="388"/>
      <c r="K80" s="374">
        <f t="shared" si="2"/>
        <v>-249415.06000000006</v>
      </c>
      <c r="L80" s="393">
        <f t="shared" si="3"/>
        <v>-0.18639465451811599</v>
      </c>
      <c r="M80" s="388"/>
    </row>
    <row r="81" customFormat="1" x14ac:dyDescent="0.2"/>
    <row r="82" customFormat="1" ht="9.75" customHeight="1" x14ac:dyDescent="0.2"/>
  </sheetData>
  <mergeCells count="20">
    <mergeCell ref="J18:J24"/>
    <mergeCell ref="M18:M24"/>
    <mergeCell ref="J26:J34"/>
    <mergeCell ref="M26:M34"/>
    <mergeCell ref="M58:M79"/>
    <mergeCell ref="A1:A2"/>
    <mergeCell ref="B1:B2"/>
    <mergeCell ref="C1:C2"/>
    <mergeCell ref="E1:E2"/>
    <mergeCell ref="F1:F2"/>
    <mergeCell ref="G1:G2"/>
    <mergeCell ref="H1:H2"/>
    <mergeCell ref="I1:I2"/>
    <mergeCell ref="J1:J2"/>
    <mergeCell ref="K1:K2"/>
    <mergeCell ref="L1:L2"/>
    <mergeCell ref="M1:M2"/>
    <mergeCell ref="D1:D2"/>
    <mergeCell ref="J5:J16"/>
    <mergeCell ref="M5:M16"/>
  </mergeCells>
  <pageMargins left="0.7" right="0.7" top="0.75" bottom="0.75" header="0.3" footer="0.3"/>
  <pageSetup paperSize="9" scale="1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apa7">
    <tabColor rgb="FF92D050"/>
    <pageSetUpPr fitToPage="1"/>
  </sheetPr>
  <dimension ref="A1:H116"/>
  <sheetViews>
    <sheetView tabSelected="1" workbookViewId="0">
      <selection activeCell="M112" sqref="M112"/>
    </sheetView>
  </sheetViews>
  <sheetFormatPr defaultRowHeight="15.75" x14ac:dyDescent="0.2"/>
  <cols>
    <col min="1" max="1" width="8.7109375" style="67" bestFit="1" customWidth="1"/>
    <col min="2" max="2" width="43.85546875" style="66" customWidth="1"/>
    <col min="3" max="3" width="19.85546875" style="310" customWidth="1"/>
    <col min="4" max="6" width="17.5703125" style="310" customWidth="1"/>
    <col min="7" max="7" width="32.7109375" style="313" customWidth="1"/>
    <col min="8" max="16384" width="9.140625" style="66"/>
  </cols>
  <sheetData>
    <row r="1" spans="1:7" ht="38.25" x14ac:dyDescent="0.2">
      <c r="A1" s="79" t="s">
        <v>545</v>
      </c>
      <c r="B1" s="80" t="s">
        <v>593</v>
      </c>
      <c r="C1" s="80"/>
      <c r="D1" s="80" t="s">
        <v>546</v>
      </c>
      <c r="E1" s="80" t="s">
        <v>547</v>
      </c>
      <c r="F1" s="80" t="s">
        <v>548</v>
      </c>
      <c r="G1" s="80" t="s">
        <v>549</v>
      </c>
    </row>
    <row r="2" spans="1:7" x14ac:dyDescent="0.2">
      <c r="A2" s="79"/>
      <c r="B2" s="80" t="s">
        <v>367</v>
      </c>
      <c r="C2" s="276"/>
      <c r="D2" s="276"/>
      <c r="E2" s="276"/>
      <c r="F2" s="276"/>
      <c r="G2" s="276"/>
    </row>
    <row r="3" spans="1:7" x14ac:dyDescent="0.2">
      <c r="A3" s="81" t="s">
        <v>550</v>
      </c>
      <c r="B3" s="82" t="s">
        <v>368</v>
      </c>
      <c r="C3" s="730">
        <f>C4+C9+C13+C17+C26</f>
        <v>5857967.9800000004</v>
      </c>
      <c r="D3" s="277"/>
      <c r="E3" s="278"/>
      <c r="F3" s="279"/>
      <c r="G3" s="280"/>
    </row>
    <row r="4" spans="1:7" x14ac:dyDescent="0.2">
      <c r="A4" s="83" t="s">
        <v>551</v>
      </c>
      <c r="B4" s="84" t="s">
        <v>369</v>
      </c>
      <c r="C4" s="281"/>
      <c r="D4" s="282"/>
      <c r="E4" s="283"/>
      <c r="F4" s="284"/>
      <c r="G4" s="285"/>
    </row>
    <row r="5" spans="1:7" x14ac:dyDescent="0.2">
      <c r="A5" s="85" t="s">
        <v>552</v>
      </c>
      <c r="B5" s="86" t="s">
        <v>553</v>
      </c>
      <c r="C5" s="286"/>
      <c r="D5" s="287"/>
      <c r="E5" s="288"/>
      <c r="F5" s="289"/>
      <c r="G5" s="290"/>
    </row>
    <row r="6" spans="1:7" x14ac:dyDescent="0.2">
      <c r="A6" s="85" t="s">
        <v>554</v>
      </c>
      <c r="B6" s="86" t="s">
        <v>553</v>
      </c>
      <c r="C6" s="286"/>
      <c r="D6" s="287"/>
      <c r="E6" s="288"/>
      <c r="F6" s="289"/>
      <c r="G6" s="290"/>
    </row>
    <row r="7" spans="1:7" x14ac:dyDescent="0.2">
      <c r="A7" s="85" t="s">
        <v>555</v>
      </c>
      <c r="B7" s="86" t="s">
        <v>553</v>
      </c>
      <c r="C7" s="286"/>
      <c r="D7" s="287"/>
      <c r="E7" s="288"/>
      <c r="F7" s="289"/>
      <c r="G7" s="290"/>
    </row>
    <row r="8" spans="1:7" x14ac:dyDescent="0.2">
      <c r="A8" s="85"/>
      <c r="B8" s="86"/>
      <c r="C8" s="286"/>
      <c r="D8" s="291"/>
      <c r="E8" s="292"/>
      <c r="F8" s="293"/>
      <c r="G8" s="294"/>
    </row>
    <row r="9" spans="1:7" x14ac:dyDescent="0.2">
      <c r="A9" s="87" t="s">
        <v>556</v>
      </c>
      <c r="B9" s="88" t="s">
        <v>370</v>
      </c>
      <c r="C9" s="295"/>
      <c r="D9" s="282"/>
      <c r="E9" s="283"/>
      <c r="F9" s="284"/>
      <c r="G9" s="285"/>
    </row>
    <row r="10" spans="1:7" x14ac:dyDescent="0.2">
      <c r="A10" s="85" t="s">
        <v>557</v>
      </c>
      <c r="B10" s="89" t="s">
        <v>553</v>
      </c>
      <c r="C10" s="296"/>
      <c r="D10" s="297"/>
      <c r="E10" s="292"/>
      <c r="F10" s="293"/>
      <c r="G10" s="294"/>
    </row>
    <row r="11" spans="1:7" x14ac:dyDescent="0.2">
      <c r="A11" s="85" t="s">
        <v>558</v>
      </c>
      <c r="B11" s="89" t="s">
        <v>553</v>
      </c>
      <c r="C11" s="296"/>
      <c r="D11" s="297"/>
      <c r="E11" s="292"/>
      <c r="F11" s="293"/>
      <c r="G11" s="294"/>
    </row>
    <row r="12" spans="1:7" x14ac:dyDescent="0.2">
      <c r="A12" s="85" t="s">
        <v>555</v>
      </c>
      <c r="B12" s="89" t="s">
        <v>553</v>
      </c>
      <c r="C12" s="296"/>
      <c r="D12" s="297"/>
      <c r="E12" s="292"/>
      <c r="F12" s="293"/>
      <c r="G12" s="294"/>
    </row>
    <row r="13" spans="1:7" x14ac:dyDescent="0.2">
      <c r="A13" s="87" t="s">
        <v>559</v>
      </c>
      <c r="B13" s="88" t="s">
        <v>371</v>
      </c>
      <c r="C13" s="295"/>
      <c r="D13" s="282"/>
      <c r="E13" s="283"/>
      <c r="F13" s="284"/>
      <c r="G13" s="285"/>
    </row>
    <row r="14" spans="1:7" x14ac:dyDescent="0.2">
      <c r="A14" s="85" t="s">
        <v>560</v>
      </c>
      <c r="B14" s="89" t="s">
        <v>553</v>
      </c>
      <c r="C14" s="296"/>
      <c r="D14" s="297"/>
      <c r="E14" s="292"/>
      <c r="F14" s="293"/>
      <c r="G14" s="294"/>
    </row>
    <row r="15" spans="1:7" x14ac:dyDescent="0.2">
      <c r="A15" s="85" t="s">
        <v>561</v>
      </c>
      <c r="B15" s="89" t="s">
        <v>553</v>
      </c>
      <c r="C15" s="296"/>
      <c r="D15" s="297"/>
      <c r="E15" s="292"/>
      <c r="F15" s="293"/>
      <c r="G15" s="294"/>
    </row>
    <row r="16" spans="1:7" x14ac:dyDescent="0.2">
      <c r="A16" s="85" t="s">
        <v>555</v>
      </c>
      <c r="B16" s="89" t="s">
        <v>553</v>
      </c>
      <c r="C16" s="296"/>
      <c r="D16" s="297"/>
      <c r="E16" s="292"/>
      <c r="F16" s="293"/>
      <c r="G16" s="294"/>
    </row>
    <row r="17" spans="1:7" x14ac:dyDescent="0.2">
      <c r="A17" s="87" t="s">
        <v>562</v>
      </c>
      <c r="B17" s="88" t="s">
        <v>372</v>
      </c>
      <c r="C17" s="330">
        <f>C18+C19+C20+C21+C22+C23+C24+C25</f>
        <v>5760658.9800000004</v>
      </c>
      <c r="D17" s="282"/>
      <c r="E17" s="283"/>
      <c r="F17" s="284"/>
      <c r="G17" s="285"/>
    </row>
    <row r="18" spans="1:7" ht="25.5" x14ac:dyDescent="0.2">
      <c r="A18" s="85" t="s">
        <v>563</v>
      </c>
      <c r="B18" s="90" t="s">
        <v>609</v>
      </c>
      <c r="C18" s="317">
        <v>325676.78000000003</v>
      </c>
      <c r="D18" s="298"/>
      <c r="E18" s="288"/>
      <c r="F18" s="289"/>
      <c r="G18" s="290"/>
    </row>
    <row r="19" spans="1:7" ht="25.5" x14ac:dyDescent="0.2">
      <c r="A19" s="85" t="s">
        <v>564</v>
      </c>
      <c r="B19" s="90" t="s">
        <v>610</v>
      </c>
      <c r="C19" s="317">
        <v>1225635.71</v>
      </c>
      <c r="D19" s="298"/>
      <c r="E19" s="288"/>
      <c r="F19" s="289"/>
      <c r="G19" s="290"/>
    </row>
    <row r="20" spans="1:7" ht="25.5" x14ac:dyDescent="0.2">
      <c r="A20" s="85" t="s">
        <v>555</v>
      </c>
      <c r="B20" s="90" t="s">
        <v>611</v>
      </c>
      <c r="C20" s="317">
        <v>2050480.26</v>
      </c>
      <c r="D20" s="298"/>
      <c r="E20" s="288"/>
      <c r="F20" s="289"/>
      <c r="G20" s="290"/>
    </row>
    <row r="21" spans="1:7" x14ac:dyDescent="0.2">
      <c r="A21" s="85"/>
      <c r="B21" s="90" t="s">
        <v>612</v>
      </c>
      <c r="C21" s="317">
        <v>1198165.49</v>
      </c>
      <c r="D21" s="298"/>
      <c r="E21" s="288"/>
      <c r="F21" s="289"/>
      <c r="G21" s="290"/>
    </row>
    <row r="22" spans="1:7" x14ac:dyDescent="0.2">
      <c r="A22" s="85"/>
      <c r="B22" s="90" t="s">
        <v>613</v>
      </c>
      <c r="C22" s="317">
        <v>854992.08</v>
      </c>
      <c r="D22" s="298"/>
      <c r="E22" s="288"/>
      <c r="F22" s="289"/>
      <c r="G22" s="290"/>
    </row>
    <row r="23" spans="1:7" x14ac:dyDescent="0.2">
      <c r="A23" s="85"/>
      <c r="B23" s="90" t="s">
        <v>614</v>
      </c>
      <c r="C23" s="317">
        <v>55466.28</v>
      </c>
      <c r="D23" s="298"/>
      <c r="E23" s="288"/>
      <c r="F23" s="289"/>
      <c r="G23" s="290"/>
    </row>
    <row r="24" spans="1:7" x14ac:dyDescent="0.2">
      <c r="A24" s="85"/>
      <c r="B24" s="90" t="s">
        <v>615</v>
      </c>
      <c r="C24" s="317">
        <v>49966.28</v>
      </c>
      <c r="D24" s="394"/>
      <c r="E24" s="292"/>
      <c r="F24" s="293"/>
      <c r="G24" s="294"/>
    </row>
    <row r="25" spans="1:7" x14ac:dyDescent="0.2">
      <c r="A25" s="85"/>
      <c r="B25" s="89" t="s">
        <v>676</v>
      </c>
      <c r="C25" s="329">
        <v>276.10000000000002</v>
      </c>
      <c r="D25" s="297"/>
      <c r="E25" s="292"/>
      <c r="F25" s="293"/>
      <c r="G25" s="294"/>
    </row>
    <row r="26" spans="1:7" ht="38.25" x14ac:dyDescent="0.2">
      <c r="A26" s="87" t="s">
        <v>565</v>
      </c>
      <c r="B26" s="88" t="s">
        <v>669</v>
      </c>
      <c r="C26" s="710">
        <f>C27+C28</f>
        <v>97309</v>
      </c>
      <c r="D26" s="282"/>
      <c r="E26" s="283"/>
      <c r="F26" s="284"/>
      <c r="G26" s="713"/>
    </row>
    <row r="27" spans="1:7" x14ac:dyDescent="0.2">
      <c r="A27" s="85" t="s">
        <v>566</v>
      </c>
      <c r="B27" s="89" t="s">
        <v>634</v>
      </c>
      <c r="C27" s="329">
        <v>67717</v>
      </c>
      <c r="D27" s="297"/>
      <c r="E27" s="292"/>
      <c r="F27" s="293"/>
      <c r="G27" s="715" t="s">
        <v>670</v>
      </c>
    </row>
    <row r="28" spans="1:7" x14ac:dyDescent="0.2">
      <c r="A28" s="85" t="s">
        <v>567</v>
      </c>
      <c r="B28" s="89" t="s">
        <v>671</v>
      </c>
      <c r="C28" s="329">
        <v>29592</v>
      </c>
      <c r="D28" s="297"/>
      <c r="E28" s="292"/>
      <c r="F28" s="293"/>
      <c r="G28" s="715" t="s">
        <v>670</v>
      </c>
    </row>
    <row r="29" spans="1:7" x14ac:dyDescent="0.2">
      <c r="A29" s="85" t="s">
        <v>555</v>
      </c>
      <c r="B29" s="89" t="s">
        <v>553</v>
      </c>
      <c r="C29" s="296"/>
      <c r="D29" s="297"/>
      <c r="E29" s="292"/>
      <c r="F29" s="293"/>
      <c r="G29" s="294"/>
    </row>
    <row r="30" spans="1:7" x14ac:dyDescent="0.2">
      <c r="A30" s="81" t="s">
        <v>568</v>
      </c>
      <c r="B30" s="82" t="s">
        <v>374</v>
      </c>
      <c r="C30" s="730">
        <f>C31+C35+C39+C48+C57+C65+C69+C79</f>
        <v>2862295.9499999997</v>
      </c>
      <c r="D30" s="277"/>
      <c r="E30" s="278"/>
      <c r="F30" s="279"/>
      <c r="G30" s="280"/>
    </row>
    <row r="31" spans="1:7" x14ac:dyDescent="0.2">
      <c r="A31" s="87" t="s">
        <v>569</v>
      </c>
      <c r="B31" s="88" t="s">
        <v>369</v>
      </c>
      <c r="C31" s="295"/>
      <c r="D31" s="282"/>
      <c r="E31" s="283"/>
      <c r="F31" s="284"/>
      <c r="G31" s="285"/>
    </row>
    <row r="32" spans="1:7" x14ac:dyDescent="0.2">
      <c r="A32" s="85" t="s">
        <v>570</v>
      </c>
      <c r="B32" s="89" t="s">
        <v>553</v>
      </c>
      <c r="C32" s="296"/>
      <c r="D32" s="297"/>
      <c r="E32" s="292"/>
      <c r="F32" s="293"/>
      <c r="G32" s="294"/>
    </row>
    <row r="33" spans="1:7" x14ac:dyDescent="0.2">
      <c r="A33" s="85" t="s">
        <v>571</v>
      </c>
      <c r="B33" s="89" t="s">
        <v>553</v>
      </c>
      <c r="C33" s="296"/>
      <c r="D33" s="297"/>
      <c r="E33" s="292"/>
      <c r="F33" s="293"/>
      <c r="G33" s="294"/>
    </row>
    <row r="34" spans="1:7" x14ac:dyDescent="0.2">
      <c r="A34" s="85" t="s">
        <v>555</v>
      </c>
      <c r="B34" s="89" t="s">
        <v>553</v>
      </c>
      <c r="C34" s="296"/>
      <c r="D34" s="297"/>
      <c r="E34" s="292"/>
      <c r="F34" s="293"/>
      <c r="G34" s="294"/>
    </row>
    <row r="35" spans="1:7" x14ac:dyDescent="0.2">
      <c r="A35" s="87" t="s">
        <v>572</v>
      </c>
      <c r="B35" s="88" t="s">
        <v>371</v>
      </c>
      <c r="C35" s="295"/>
      <c r="D35" s="283"/>
      <c r="E35" s="283"/>
      <c r="F35" s="284"/>
      <c r="G35" s="285"/>
    </row>
    <row r="36" spans="1:7" x14ac:dyDescent="0.2">
      <c r="A36" s="85" t="s">
        <v>573</v>
      </c>
      <c r="B36" s="89" t="s">
        <v>553</v>
      </c>
      <c r="C36" s="296"/>
      <c r="D36" s="292"/>
      <c r="E36" s="292"/>
      <c r="F36" s="293"/>
      <c r="G36" s="294"/>
    </row>
    <row r="37" spans="1:7" x14ac:dyDescent="0.2">
      <c r="A37" s="85" t="s">
        <v>574</v>
      </c>
      <c r="B37" s="89" t="s">
        <v>553</v>
      </c>
      <c r="C37" s="296"/>
      <c r="D37" s="292"/>
      <c r="E37" s="292"/>
      <c r="F37" s="293"/>
      <c r="G37" s="294"/>
    </row>
    <row r="38" spans="1:7" x14ac:dyDescent="0.2">
      <c r="A38" s="85" t="s">
        <v>555</v>
      </c>
      <c r="B38" s="89" t="s">
        <v>553</v>
      </c>
      <c r="C38" s="296"/>
      <c r="D38" s="292"/>
      <c r="E38" s="292"/>
      <c r="F38" s="293"/>
      <c r="G38" s="294"/>
    </row>
    <row r="39" spans="1:7" ht="38.25" x14ac:dyDescent="0.2">
      <c r="A39" s="87" t="s">
        <v>575</v>
      </c>
      <c r="B39" s="88" t="s">
        <v>616</v>
      </c>
      <c r="C39" s="330">
        <f>C40+C41+C42+C43+C44+C45+C46</f>
        <v>7997</v>
      </c>
      <c r="D39" s="711"/>
      <c r="E39" s="711"/>
      <c r="F39" s="712"/>
      <c r="G39" s="713"/>
    </row>
    <row r="40" spans="1:7" x14ac:dyDescent="0.2">
      <c r="A40" s="85" t="s">
        <v>576</v>
      </c>
      <c r="B40" s="180" t="s">
        <v>762</v>
      </c>
      <c r="C40" s="180">
        <v>4799</v>
      </c>
      <c r="D40" s="93"/>
      <c r="E40" s="93"/>
      <c r="F40" s="714"/>
      <c r="G40" s="715" t="s">
        <v>666</v>
      </c>
    </row>
    <row r="41" spans="1:7" x14ac:dyDescent="0.2">
      <c r="A41" s="85" t="s">
        <v>577</v>
      </c>
      <c r="B41" s="180" t="s">
        <v>905</v>
      </c>
      <c r="C41" s="716">
        <v>1817</v>
      </c>
      <c r="D41" s="93"/>
      <c r="E41" s="93"/>
      <c r="F41" s="714"/>
      <c r="G41" s="715" t="s">
        <v>666</v>
      </c>
    </row>
    <row r="42" spans="1:7" x14ac:dyDescent="0.2">
      <c r="A42" s="85" t="s">
        <v>555</v>
      </c>
      <c r="B42" s="180" t="s">
        <v>906</v>
      </c>
      <c r="C42" s="716">
        <v>156</v>
      </c>
      <c r="D42" s="93"/>
      <c r="E42" s="93"/>
      <c r="F42" s="714"/>
      <c r="G42" s="715" t="s">
        <v>666</v>
      </c>
    </row>
    <row r="43" spans="1:7" x14ac:dyDescent="0.2">
      <c r="A43" s="91"/>
      <c r="B43" s="180" t="s">
        <v>907</v>
      </c>
      <c r="C43" s="180">
        <v>65</v>
      </c>
      <c r="D43" s="93"/>
      <c r="E43" s="93"/>
      <c r="F43" s="714"/>
      <c r="G43" s="715" t="s">
        <v>666</v>
      </c>
    </row>
    <row r="44" spans="1:7" x14ac:dyDescent="0.2">
      <c r="A44" s="91"/>
      <c r="B44" s="180" t="s">
        <v>908</v>
      </c>
      <c r="C44" s="716">
        <v>120</v>
      </c>
      <c r="D44" s="717"/>
      <c r="E44" s="717"/>
      <c r="F44" s="714"/>
      <c r="G44" s="715" t="s">
        <v>666</v>
      </c>
    </row>
    <row r="45" spans="1:7" x14ac:dyDescent="0.2">
      <c r="A45" s="85"/>
      <c r="B45" s="718" t="s">
        <v>909</v>
      </c>
      <c r="C45" s="329">
        <v>1040</v>
      </c>
      <c r="D45" s="417"/>
      <c r="E45" s="417"/>
      <c r="F45" s="719"/>
      <c r="G45" s="715" t="s">
        <v>763</v>
      </c>
    </row>
    <row r="46" spans="1:7" x14ac:dyDescent="0.2">
      <c r="A46" s="85"/>
      <c r="B46" s="89"/>
      <c r="C46" s="317"/>
      <c r="D46" s="720"/>
      <c r="E46" s="417"/>
      <c r="F46" s="719"/>
      <c r="G46" s="715"/>
    </row>
    <row r="47" spans="1:7" x14ac:dyDescent="0.2">
      <c r="A47" s="85"/>
      <c r="C47" s="721"/>
      <c r="D47" s="717"/>
      <c r="E47" s="717"/>
      <c r="F47" s="714"/>
      <c r="G47" s="722"/>
    </row>
    <row r="48" spans="1:7" ht="38.25" x14ac:dyDescent="0.2">
      <c r="A48" s="87" t="s">
        <v>578</v>
      </c>
      <c r="B48" s="88" t="s">
        <v>617</v>
      </c>
      <c r="C48" s="330">
        <f>C49+C50+C51+C52+C53+C54</f>
        <v>1097315.8399999999</v>
      </c>
      <c r="D48" s="711"/>
      <c r="E48" s="711"/>
      <c r="F48" s="712"/>
      <c r="G48" s="713"/>
    </row>
    <row r="49" spans="1:7" x14ac:dyDescent="0.2">
      <c r="A49" s="85" t="s">
        <v>579</v>
      </c>
      <c r="B49" s="86" t="s">
        <v>618</v>
      </c>
      <c r="C49" s="180">
        <v>342249</v>
      </c>
      <c r="D49" s="180">
        <v>45915</v>
      </c>
      <c r="E49" s="93"/>
      <c r="F49" s="719"/>
      <c r="G49" s="715" t="s">
        <v>285</v>
      </c>
    </row>
    <row r="50" spans="1:7" x14ac:dyDescent="0.2">
      <c r="A50" s="85" t="s">
        <v>555</v>
      </c>
      <c r="B50" s="86" t="s">
        <v>910</v>
      </c>
      <c r="C50" s="180">
        <v>115506.73</v>
      </c>
      <c r="D50" s="180"/>
      <c r="E50" s="93"/>
      <c r="F50" s="719"/>
      <c r="G50" s="715" t="s">
        <v>43</v>
      </c>
    </row>
    <row r="51" spans="1:7" x14ac:dyDescent="0.2">
      <c r="A51" s="85"/>
      <c r="B51" s="180" t="s">
        <v>752</v>
      </c>
      <c r="C51" s="180">
        <v>82671.97</v>
      </c>
      <c r="D51" s="180"/>
      <c r="E51" s="417"/>
      <c r="F51" s="719"/>
      <c r="G51" s="715" t="s">
        <v>285</v>
      </c>
    </row>
    <row r="52" spans="1:7" x14ac:dyDescent="0.2">
      <c r="A52" s="85"/>
      <c r="B52" s="180" t="s">
        <v>764</v>
      </c>
      <c r="C52" s="724">
        <v>72286.64</v>
      </c>
      <c r="D52" s="417"/>
      <c r="E52" s="417"/>
      <c r="F52" s="719"/>
      <c r="G52" s="715" t="s">
        <v>285</v>
      </c>
    </row>
    <row r="53" spans="1:7" x14ac:dyDescent="0.2">
      <c r="A53" s="85"/>
      <c r="B53" s="723" t="s">
        <v>739</v>
      </c>
      <c r="C53" s="724">
        <v>53390.5</v>
      </c>
      <c r="D53" s="417"/>
      <c r="E53" s="417"/>
      <c r="F53" s="719"/>
      <c r="G53" s="715" t="s">
        <v>285</v>
      </c>
    </row>
    <row r="54" spans="1:7" x14ac:dyDescent="0.2">
      <c r="A54" s="85"/>
      <c r="B54" s="86" t="s">
        <v>911</v>
      </c>
      <c r="C54" s="716">
        <v>431211</v>
      </c>
      <c r="D54" s="417"/>
      <c r="E54" s="417"/>
      <c r="F54" s="719"/>
      <c r="G54" s="715"/>
    </row>
    <row r="55" spans="1:7" x14ac:dyDescent="0.2">
      <c r="A55" s="85"/>
      <c r="B55" s="86"/>
      <c r="C55" s="709"/>
      <c r="D55" s="292"/>
      <c r="E55" s="292"/>
      <c r="F55" s="293"/>
      <c r="G55" s="294"/>
    </row>
    <row r="56" spans="1:7" x14ac:dyDescent="0.25">
      <c r="A56" s="85"/>
      <c r="B56" s="93"/>
      <c r="C56" s="395"/>
      <c r="D56" s="292"/>
      <c r="E56" s="292"/>
      <c r="F56" s="293"/>
      <c r="G56" s="294"/>
    </row>
    <row r="57" spans="1:7" x14ac:dyDescent="0.2">
      <c r="A57" s="87" t="s">
        <v>580</v>
      </c>
      <c r="B57" s="84" t="s">
        <v>377</v>
      </c>
      <c r="C57" s="330">
        <f>C58+C59+C60+C61+C62+C63</f>
        <v>647674.38</v>
      </c>
      <c r="D57" s="283"/>
      <c r="E57" s="283"/>
      <c r="F57" s="284"/>
      <c r="G57" s="285"/>
    </row>
    <row r="58" spans="1:7" x14ac:dyDescent="0.2">
      <c r="A58" s="92" t="s">
        <v>581</v>
      </c>
      <c r="B58" s="90" t="s">
        <v>619</v>
      </c>
      <c r="C58" s="725">
        <v>392052.97</v>
      </c>
      <c r="D58" s="288"/>
      <c r="E58" s="288"/>
      <c r="F58" s="289"/>
      <c r="G58" s="290"/>
    </row>
    <row r="59" spans="1:7" x14ac:dyDescent="0.2">
      <c r="A59" s="92" t="s">
        <v>582</v>
      </c>
      <c r="B59" s="90" t="s">
        <v>620</v>
      </c>
      <c r="C59" s="725">
        <v>222625.65</v>
      </c>
      <c r="D59" s="288"/>
      <c r="E59" s="288"/>
      <c r="F59" s="289"/>
      <c r="G59" s="290"/>
    </row>
    <row r="60" spans="1:7" x14ac:dyDescent="0.2">
      <c r="A60" s="92" t="s">
        <v>555</v>
      </c>
      <c r="B60" s="90" t="s">
        <v>621</v>
      </c>
      <c r="C60" s="725">
        <v>32774</v>
      </c>
      <c r="D60" s="299"/>
      <c r="E60" s="288"/>
      <c r="F60" s="289"/>
      <c r="G60" s="290"/>
    </row>
    <row r="61" spans="1:7" x14ac:dyDescent="0.2">
      <c r="A61" s="92"/>
      <c r="B61" s="90" t="s">
        <v>622</v>
      </c>
      <c r="C61" s="725">
        <v>0</v>
      </c>
      <c r="D61" s="292"/>
      <c r="E61" s="292"/>
      <c r="F61" s="293"/>
      <c r="G61" s="294"/>
    </row>
    <row r="62" spans="1:7" x14ac:dyDescent="0.2">
      <c r="A62" s="92"/>
      <c r="B62" s="90" t="s">
        <v>623</v>
      </c>
      <c r="C62" s="725">
        <v>0</v>
      </c>
      <c r="D62" s="292"/>
      <c r="E62" s="292"/>
      <c r="F62" s="293"/>
      <c r="G62" s="294"/>
    </row>
    <row r="63" spans="1:7" x14ac:dyDescent="0.2">
      <c r="A63" s="92"/>
      <c r="B63" s="90" t="s">
        <v>624</v>
      </c>
      <c r="C63" s="725">
        <v>221.76</v>
      </c>
      <c r="D63" s="292"/>
      <c r="E63" s="292"/>
      <c r="F63" s="293"/>
      <c r="G63" s="294"/>
    </row>
    <row r="64" spans="1:7" x14ac:dyDescent="0.2">
      <c r="A64" s="92"/>
      <c r="B64" s="93"/>
      <c r="C64" s="396"/>
      <c r="D64" s="292"/>
      <c r="E64" s="292"/>
      <c r="F64" s="293"/>
      <c r="G64" s="294"/>
    </row>
    <row r="65" spans="1:7" ht="38.25" x14ac:dyDescent="0.2">
      <c r="A65" s="87" t="s">
        <v>583</v>
      </c>
      <c r="B65" s="94" t="s">
        <v>625</v>
      </c>
      <c r="C65" s="726">
        <f>C66+C67</f>
        <v>89235.93</v>
      </c>
      <c r="D65" s="283"/>
      <c r="E65" s="283"/>
      <c r="F65" s="284"/>
      <c r="G65" s="285"/>
    </row>
    <row r="66" spans="1:7" x14ac:dyDescent="0.2">
      <c r="A66" s="92" t="s">
        <v>584</v>
      </c>
      <c r="B66" s="90" t="s">
        <v>626</v>
      </c>
      <c r="C66" s="727">
        <v>85690.93</v>
      </c>
      <c r="D66" s="292"/>
      <c r="E66" s="292"/>
      <c r="F66" s="293"/>
      <c r="G66" s="294"/>
    </row>
    <row r="67" spans="1:7" x14ac:dyDescent="0.2">
      <c r="A67" s="92" t="s">
        <v>585</v>
      </c>
      <c r="B67" s="90" t="s">
        <v>627</v>
      </c>
      <c r="C67" s="727">
        <v>3545</v>
      </c>
      <c r="D67" s="292"/>
      <c r="E67" s="292"/>
      <c r="F67" s="293"/>
      <c r="G67" s="294"/>
    </row>
    <row r="68" spans="1:7" x14ac:dyDescent="0.2">
      <c r="A68" s="92" t="s">
        <v>555</v>
      </c>
      <c r="B68" s="89" t="s">
        <v>553</v>
      </c>
      <c r="C68" s="296"/>
      <c r="D68" s="292"/>
      <c r="E68" s="292"/>
      <c r="F68" s="293"/>
      <c r="G68" s="294"/>
    </row>
    <row r="69" spans="1:7" x14ac:dyDescent="0.2">
      <c r="A69" s="87" t="s">
        <v>586</v>
      </c>
      <c r="B69" s="88" t="s">
        <v>372</v>
      </c>
      <c r="C69" s="330">
        <f>C70+C71+C72+C73+C74+C75+C76+C77</f>
        <v>261842.8</v>
      </c>
      <c r="D69" s="283"/>
      <c r="E69" s="283"/>
      <c r="F69" s="284"/>
      <c r="G69" s="285"/>
    </row>
    <row r="70" spans="1:7" ht="25.5" x14ac:dyDescent="0.2">
      <c r="A70" s="85" t="s">
        <v>587</v>
      </c>
      <c r="B70" s="90" t="s">
        <v>609</v>
      </c>
      <c r="C70" s="417">
        <v>6257.98</v>
      </c>
      <c r="D70" s="292"/>
      <c r="E70" s="300"/>
      <c r="F70" s="301"/>
      <c r="G70" s="302"/>
    </row>
    <row r="71" spans="1:7" ht="25.5" x14ac:dyDescent="0.2">
      <c r="A71" s="85" t="s">
        <v>588</v>
      </c>
      <c r="B71" s="90" t="s">
        <v>610</v>
      </c>
      <c r="C71" s="417">
        <v>62924.38</v>
      </c>
      <c r="D71" s="292"/>
      <c r="E71" s="300"/>
      <c r="F71" s="301"/>
      <c r="G71" s="302"/>
    </row>
    <row r="72" spans="1:7" ht="25.5" x14ac:dyDescent="0.2">
      <c r="A72" s="85" t="s">
        <v>555</v>
      </c>
      <c r="B72" s="90" t="s">
        <v>611</v>
      </c>
      <c r="C72" s="417">
        <v>23039.1</v>
      </c>
      <c r="D72" s="292"/>
      <c r="E72" s="300"/>
      <c r="F72" s="301"/>
      <c r="G72" s="302"/>
    </row>
    <row r="73" spans="1:7" x14ac:dyDescent="0.2">
      <c r="A73" s="91"/>
      <c r="B73" s="90" t="s">
        <v>612</v>
      </c>
      <c r="C73" s="417">
        <v>112951.88</v>
      </c>
      <c r="D73" s="292"/>
      <c r="E73" s="300"/>
      <c r="F73" s="301"/>
      <c r="G73" s="302"/>
    </row>
    <row r="74" spans="1:7" x14ac:dyDescent="0.2">
      <c r="A74" s="91"/>
      <c r="B74" s="90" t="s">
        <v>613</v>
      </c>
      <c r="C74" s="417">
        <v>33789.379999999997</v>
      </c>
      <c r="D74" s="292"/>
      <c r="E74" s="300"/>
      <c r="F74" s="301"/>
      <c r="G74" s="302"/>
    </row>
    <row r="75" spans="1:7" x14ac:dyDescent="0.2">
      <c r="A75" s="91"/>
      <c r="B75" s="90" t="s">
        <v>614</v>
      </c>
      <c r="C75" s="417">
        <v>9244.44</v>
      </c>
      <c r="D75" s="292"/>
      <c r="E75" s="300"/>
      <c r="F75" s="301"/>
      <c r="G75" s="302"/>
    </row>
    <row r="76" spans="1:7" x14ac:dyDescent="0.2">
      <c r="A76" s="85"/>
      <c r="B76" s="90" t="s">
        <v>615</v>
      </c>
      <c r="C76" s="417">
        <v>13516.84</v>
      </c>
      <c r="D76" s="292"/>
      <c r="E76" s="300"/>
      <c r="F76" s="301"/>
      <c r="G76" s="297"/>
    </row>
    <row r="77" spans="1:7" x14ac:dyDescent="0.2">
      <c r="A77" s="85"/>
      <c r="B77" s="89" t="s">
        <v>676</v>
      </c>
      <c r="C77" s="417">
        <v>118.8</v>
      </c>
      <c r="D77" s="292"/>
      <c r="E77" s="292"/>
      <c r="F77" s="293"/>
      <c r="G77" s="294"/>
    </row>
    <row r="78" spans="1:7" x14ac:dyDescent="0.2">
      <c r="A78" s="85"/>
      <c r="B78" s="89"/>
      <c r="C78" s="329"/>
      <c r="D78" s="292"/>
      <c r="E78" s="292"/>
      <c r="F78" s="293"/>
      <c r="G78" s="294"/>
    </row>
    <row r="79" spans="1:7" x14ac:dyDescent="0.2">
      <c r="A79" s="87" t="s">
        <v>589</v>
      </c>
      <c r="B79" s="84" t="s">
        <v>379</v>
      </c>
      <c r="C79" s="330">
        <f>C80+C81</f>
        <v>758230</v>
      </c>
      <c r="D79" s="283"/>
      <c r="E79" s="283"/>
      <c r="F79" s="284"/>
      <c r="G79" s="285"/>
    </row>
    <row r="80" spans="1:7" ht="25.5" x14ac:dyDescent="0.2">
      <c r="A80" s="92" t="s">
        <v>590</v>
      </c>
      <c r="B80" s="224" t="s">
        <v>628</v>
      </c>
      <c r="C80" s="728">
        <v>738462</v>
      </c>
      <c r="D80" s="292"/>
      <c r="E80" s="292"/>
      <c r="F80" s="293"/>
      <c r="G80" s="294"/>
    </row>
    <row r="81" spans="1:7" x14ac:dyDescent="0.2">
      <c r="A81" s="92" t="s">
        <v>591</v>
      </c>
      <c r="B81" s="90" t="s">
        <v>379</v>
      </c>
      <c r="C81" s="729">
        <v>19768</v>
      </c>
      <c r="D81" s="292"/>
      <c r="E81" s="292"/>
      <c r="F81" s="293"/>
      <c r="G81" s="294"/>
    </row>
    <row r="82" spans="1:7" x14ac:dyDescent="0.2">
      <c r="A82" s="85" t="s">
        <v>555</v>
      </c>
      <c r="B82" s="170" t="s">
        <v>553</v>
      </c>
      <c r="C82" s="329"/>
      <c r="D82" s="292"/>
      <c r="E82" s="292"/>
      <c r="F82" s="293"/>
      <c r="G82" s="294"/>
    </row>
    <row r="83" spans="1:7" x14ac:dyDescent="0.2">
      <c r="A83" s="85"/>
      <c r="B83" s="95" t="s">
        <v>400</v>
      </c>
      <c r="C83" s="303"/>
      <c r="D83" s="292"/>
      <c r="E83" s="292"/>
      <c r="F83" s="293"/>
      <c r="G83" s="294"/>
    </row>
    <row r="84" spans="1:7" s="68" customFormat="1" ht="51" x14ac:dyDescent="0.2">
      <c r="A84" s="96" t="s">
        <v>550</v>
      </c>
      <c r="B84" s="97" t="s">
        <v>635</v>
      </c>
      <c r="C84" s="731">
        <f>C85+C86+C87+C88+C89+C90</f>
        <v>1782497</v>
      </c>
      <c r="D84" s="731">
        <f>D87+D88+D90</f>
        <v>290762</v>
      </c>
      <c r="E84" s="731">
        <f>E87+E90</f>
        <v>103870</v>
      </c>
      <c r="F84" s="731">
        <f>F88+F90</f>
        <v>186892</v>
      </c>
      <c r="G84" s="741"/>
    </row>
    <row r="85" spans="1:7" s="68" customFormat="1" x14ac:dyDescent="0.2">
      <c r="A85" s="98" t="s">
        <v>594</v>
      </c>
      <c r="B85" s="271" t="s">
        <v>629</v>
      </c>
      <c r="C85" s="716">
        <v>1417869</v>
      </c>
      <c r="D85" s="743"/>
      <c r="E85" s="744"/>
      <c r="F85" s="745"/>
      <c r="G85" s="169" t="s">
        <v>654</v>
      </c>
    </row>
    <row r="86" spans="1:7" s="68" customFormat="1" x14ac:dyDescent="0.2">
      <c r="A86" s="98" t="s">
        <v>551</v>
      </c>
      <c r="B86" s="271" t="s">
        <v>629</v>
      </c>
      <c r="C86" s="716">
        <v>123301</v>
      </c>
      <c r="D86" s="743"/>
      <c r="E86" s="744"/>
      <c r="F86" s="746"/>
      <c r="G86" s="169" t="s">
        <v>765</v>
      </c>
    </row>
    <row r="87" spans="1:7" s="68" customFormat="1" ht="25.5" x14ac:dyDescent="0.2">
      <c r="A87" s="98" t="s">
        <v>556</v>
      </c>
      <c r="B87" s="272" t="s">
        <v>630</v>
      </c>
      <c r="C87" s="716">
        <v>115014</v>
      </c>
      <c r="D87" s="743">
        <v>58132</v>
      </c>
      <c r="E87" s="747">
        <v>58132</v>
      </c>
      <c r="F87" s="748"/>
      <c r="G87" s="169" t="s">
        <v>655</v>
      </c>
    </row>
    <row r="88" spans="1:7" x14ac:dyDescent="0.2">
      <c r="A88" s="98" t="s">
        <v>559</v>
      </c>
      <c r="B88" s="273" t="s">
        <v>631</v>
      </c>
      <c r="C88" s="716">
        <v>15495</v>
      </c>
      <c r="D88" s="743">
        <v>476</v>
      </c>
      <c r="E88" s="744"/>
      <c r="F88" s="749">
        <v>476</v>
      </c>
      <c r="G88" s="169" t="s">
        <v>753</v>
      </c>
    </row>
    <row r="89" spans="1:7" x14ac:dyDescent="0.2">
      <c r="A89" s="98" t="s">
        <v>562</v>
      </c>
      <c r="B89" s="274" t="s">
        <v>915</v>
      </c>
      <c r="C89" s="716">
        <v>14400</v>
      </c>
      <c r="D89" s="743"/>
      <c r="E89" s="744"/>
      <c r="F89" s="749"/>
      <c r="G89" s="169" t="s">
        <v>917</v>
      </c>
    </row>
    <row r="90" spans="1:7" x14ac:dyDescent="0.2">
      <c r="A90" s="98" t="s">
        <v>555</v>
      </c>
      <c r="B90" s="272" t="s">
        <v>916</v>
      </c>
      <c r="C90" s="750">
        <v>96418</v>
      </c>
      <c r="D90" s="743">
        <v>232154</v>
      </c>
      <c r="E90" s="753">
        <v>45738</v>
      </c>
      <c r="F90" s="751">
        <v>186416</v>
      </c>
      <c r="G90" s="169" t="s">
        <v>918</v>
      </c>
    </row>
    <row r="91" spans="1:7" x14ac:dyDescent="0.2">
      <c r="A91" s="98"/>
      <c r="B91" s="89"/>
      <c r="C91" s="734"/>
      <c r="D91" s="180"/>
      <c r="E91" s="738"/>
      <c r="F91" s="752"/>
      <c r="G91" s="169"/>
    </row>
    <row r="92" spans="1:7" s="68" customFormat="1" x14ac:dyDescent="0.2">
      <c r="A92" s="96" t="s">
        <v>568</v>
      </c>
      <c r="B92" s="97" t="s">
        <v>402</v>
      </c>
      <c r="C92" s="307"/>
      <c r="D92" s="307"/>
      <c r="E92" s="307"/>
      <c r="F92" s="307"/>
      <c r="G92" s="304"/>
    </row>
    <row r="93" spans="1:7" x14ac:dyDescent="0.2">
      <c r="A93" s="98" t="s">
        <v>569</v>
      </c>
      <c r="B93" s="99" t="s">
        <v>553</v>
      </c>
      <c r="C93" s="306"/>
      <c r="D93" s="306"/>
      <c r="E93" s="306"/>
      <c r="F93" s="306"/>
      <c r="G93" s="305"/>
    </row>
    <row r="94" spans="1:7" x14ac:dyDescent="0.2">
      <c r="A94" s="98" t="s">
        <v>572</v>
      </c>
      <c r="B94" s="99" t="s">
        <v>553</v>
      </c>
      <c r="C94" s="306"/>
      <c r="D94" s="306"/>
      <c r="E94" s="306"/>
      <c r="F94" s="306"/>
      <c r="G94" s="305"/>
    </row>
    <row r="95" spans="1:7" x14ac:dyDescent="0.2">
      <c r="A95" s="98" t="s">
        <v>555</v>
      </c>
      <c r="B95" s="99" t="s">
        <v>553</v>
      </c>
      <c r="C95" s="306"/>
      <c r="D95" s="306"/>
      <c r="E95" s="306"/>
      <c r="F95" s="306"/>
      <c r="G95" s="305"/>
    </row>
    <row r="96" spans="1:7" s="68" customFormat="1" x14ac:dyDescent="0.2">
      <c r="A96" s="96" t="s">
        <v>595</v>
      </c>
      <c r="B96" s="97" t="s">
        <v>403</v>
      </c>
      <c r="C96" s="731">
        <f>C97+C98+C100</f>
        <v>872</v>
      </c>
      <c r="D96" s="732"/>
      <c r="E96" s="732"/>
      <c r="F96" s="732"/>
      <c r="G96" s="733"/>
    </row>
    <row r="97" spans="1:8" s="68" customFormat="1" x14ac:dyDescent="0.2">
      <c r="A97" s="98" t="s">
        <v>636</v>
      </c>
      <c r="B97" s="169" t="s">
        <v>637</v>
      </c>
      <c r="C97" s="734">
        <v>300</v>
      </c>
      <c r="D97" s="735"/>
      <c r="E97" s="735"/>
      <c r="F97" s="735"/>
      <c r="G97" s="169" t="s">
        <v>673</v>
      </c>
    </row>
    <row r="98" spans="1:8" s="68" customFormat="1" x14ac:dyDescent="0.2">
      <c r="A98" s="98" t="s">
        <v>638</v>
      </c>
      <c r="B98" s="89" t="s">
        <v>672</v>
      </c>
      <c r="C98" s="734">
        <v>572</v>
      </c>
      <c r="D98" s="735"/>
      <c r="E98" s="735"/>
      <c r="F98" s="735"/>
      <c r="G98" s="169" t="s">
        <v>667</v>
      </c>
    </row>
    <row r="99" spans="1:8" x14ac:dyDescent="0.2">
      <c r="C99" s="66"/>
      <c r="D99" s="66"/>
      <c r="E99" s="66"/>
      <c r="F99" s="66"/>
      <c r="G99" s="736"/>
    </row>
    <row r="100" spans="1:8" s="68" customFormat="1" x14ac:dyDescent="0.2">
      <c r="A100" s="79"/>
      <c r="B100" s="397"/>
      <c r="C100" s="734"/>
      <c r="D100" s="735"/>
      <c r="E100" s="735"/>
      <c r="F100" s="735"/>
      <c r="G100" s="169"/>
    </row>
    <row r="101" spans="1:8" s="68" customFormat="1" x14ac:dyDescent="0.2">
      <c r="A101" s="79"/>
      <c r="B101" s="418"/>
      <c r="C101" s="737"/>
      <c r="D101" s="735"/>
      <c r="E101" s="735"/>
      <c r="F101" s="735"/>
      <c r="G101" s="169"/>
    </row>
    <row r="102" spans="1:8" s="68" customFormat="1" x14ac:dyDescent="0.2">
      <c r="A102" s="79"/>
      <c r="B102" s="225"/>
      <c r="C102" s="309"/>
      <c r="D102" s="308"/>
      <c r="E102" s="308"/>
      <c r="F102" s="308"/>
      <c r="G102" s="305"/>
    </row>
    <row r="103" spans="1:8" s="68" customFormat="1" x14ac:dyDescent="0.2">
      <c r="A103" s="79"/>
      <c r="B103" s="225"/>
      <c r="C103" s="309"/>
      <c r="D103" s="308"/>
      <c r="E103" s="308"/>
      <c r="F103" s="308"/>
      <c r="G103" s="305"/>
    </row>
    <row r="104" spans="1:8" s="68" customFormat="1" x14ac:dyDescent="0.2">
      <c r="A104" s="79"/>
      <c r="B104" s="225"/>
      <c r="C104" s="309"/>
      <c r="D104" s="308"/>
      <c r="E104" s="308"/>
      <c r="F104" s="308"/>
      <c r="G104" s="305"/>
    </row>
    <row r="105" spans="1:8" s="68" customFormat="1" ht="38.25" x14ac:dyDescent="0.2">
      <c r="A105" s="96" t="s">
        <v>596</v>
      </c>
      <c r="B105" s="97" t="s">
        <v>639</v>
      </c>
      <c r="C105" s="731">
        <f>C106+C107+C108+C109+C110+C111</f>
        <v>15713.34</v>
      </c>
      <c r="D105" s="732"/>
      <c r="E105" s="732"/>
      <c r="F105" s="732"/>
      <c r="G105" s="741"/>
    </row>
    <row r="106" spans="1:8" s="68" customFormat="1" x14ac:dyDescent="0.2">
      <c r="A106" s="98" t="s">
        <v>597</v>
      </c>
      <c r="B106" s="89" t="s">
        <v>632</v>
      </c>
      <c r="C106" s="716">
        <v>4925</v>
      </c>
      <c r="D106" s="735"/>
      <c r="E106" s="735"/>
      <c r="F106" s="735"/>
      <c r="G106" s="169" t="s">
        <v>656</v>
      </c>
      <c r="H106" s="226"/>
    </row>
    <row r="107" spans="1:8" s="68" customFormat="1" x14ac:dyDescent="0.2">
      <c r="A107" s="98"/>
      <c r="B107" s="89" t="s">
        <v>913</v>
      </c>
      <c r="C107" s="716">
        <v>1311</v>
      </c>
      <c r="D107" s="738"/>
      <c r="E107" s="738"/>
      <c r="F107" s="66"/>
      <c r="G107" s="740" t="s">
        <v>919</v>
      </c>
      <c r="H107" s="226"/>
    </row>
    <row r="108" spans="1:8" s="68" customFormat="1" x14ac:dyDescent="0.2">
      <c r="A108" s="98" t="s">
        <v>598</v>
      </c>
      <c r="B108" s="89" t="s">
        <v>914</v>
      </c>
      <c r="C108" s="716">
        <v>1424</v>
      </c>
      <c r="D108" s="735"/>
      <c r="E108" s="735"/>
      <c r="F108" s="735"/>
      <c r="G108" s="169" t="s">
        <v>656</v>
      </c>
      <c r="H108" s="226"/>
    </row>
    <row r="109" spans="1:8" s="68" customFormat="1" ht="25.5" x14ac:dyDescent="0.2">
      <c r="A109" s="98" t="s">
        <v>555</v>
      </c>
      <c r="B109" s="89" t="s">
        <v>677</v>
      </c>
      <c r="C109" s="716">
        <v>824.34</v>
      </c>
      <c r="D109" s="735"/>
      <c r="E109" s="735"/>
      <c r="F109" s="735"/>
      <c r="G109" s="740" t="s">
        <v>678</v>
      </c>
    </row>
    <row r="110" spans="1:8" ht="25.5" x14ac:dyDescent="0.2">
      <c r="A110" s="98"/>
      <c r="B110" s="89" t="s">
        <v>657</v>
      </c>
      <c r="C110" s="716">
        <v>5208</v>
      </c>
      <c r="D110" s="738"/>
      <c r="E110" s="738"/>
      <c r="F110" s="739"/>
      <c r="G110" s="740" t="s">
        <v>658</v>
      </c>
      <c r="H110" s="227"/>
    </row>
    <row r="111" spans="1:8" x14ac:dyDescent="0.2">
      <c r="A111" s="98"/>
      <c r="B111" s="89" t="s">
        <v>912</v>
      </c>
      <c r="C111" s="742">
        <v>2021</v>
      </c>
      <c r="D111" s="738"/>
      <c r="E111" s="738"/>
      <c r="F111" s="738"/>
      <c r="G111" s="169"/>
    </row>
    <row r="112" spans="1:8" s="68" customFormat="1" ht="25.5" x14ac:dyDescent="0.2">
      <c r="A112" s="96" t="s">
        <v>599</v>
      </c>
      <c r="B112" s="97" t="s">
        <v>640</v>
      </c>
      <c r="C112" s="732">
        <f>C113</f>
        <v>0</v>
      </c>
      <c r="D112" s="732"/>
      <c r="E112" s="732"/>
      <c r="F112" s="732"/>
      <c r="G112" s="741"/>
    </row>
    <row r="113" spans="1:7" x14ac:dyDescent="0.2">
      <c r="A113" s="98" t="s">
        <v>600</v>
      </c>
      <c r="B113" s="271"/>
      <c r="C113" s="738">
        <v>0</v>
      </c>
      <c r="D113" s="738"/>
      <c r="E113" s="738"/>
      <c r="F113" s="738"/>
      <c r="G113" s="169"/>
    </row>
    <row r="114" spans="1:7" x14ac:dyDescent="0.2">
      <c r="A114" s="98" t="s">
        <v>601</v>
      </c>
      <c r="B114" s="99" t="s">
        <v>553</v>
      </c>
      <c r="C114" s="306"/>
      <c r="D114" s="306"/>
      <c r="E114" s="306"/>
      <c r="F114" s="306"/>
      <c r="G114" s="305"/>
    </row>
    <row r="115" spans="1:7" x14ac:dyDescent="0.2">
      <c r="A115" s="98" t="s">
        <v>555</v>
      </c>
      <c r="B115" s="99" t="s">
        <v>553</v>
      </c>
      <c r="C115" s="306"/>
      <c r="D115" s="306"/>
      <c r="E115" s="306"/>
      <c r="F115" s="306"/>
      <c r="G115" s="305"/>
    </row>
    <row r="116" spans="1:7" s="68" customFormat="1" x14ac:dyDescent="0.2">
      <c r="A116" s="69" t="s">
        <v>602</v>
      </c>
      <c r="B116" s="100" t="s">
        <v>592</v>
      </c>
      <c r="C116" s="311"/>
      <c r="D116" s="311"/>
      <c r="E116" s="311"/>
      <c r="F116" s="311"/>
      <c r="G116" s="312"/>
    </row>
  </sheetData>
  <pageMargins left="0.7" right="0.7"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8CAB5F429D7742B2306E6786D35992" ma:contentTypeVersion="10" ma:contentTypeDescription="Create a new document." ma:contentTypeScope="" ma:versionID="b8a6452e4144f44d3f07beb5f678e755">
  <xsd:schema xmlns:xsd="http://www.w3.org/2001/XMLSchema" xmlns:xs="http://www.w3.org/2001/XMLSchema" xmlns:p="http://schemas.microsoft.com/office/2006/metadata/properties" xmlns:ns3="6d3dcd6d-969d-471b-a53f-a1e8a85eae05" targetNamespace="http://schemas.microsoft.com/office/2006/metadata/properties" ma:root="true" ma:fieldsID="550dd4e28307b56e80e07d50e22d585e" ns3:_="">
    <xsd:import namespace="6d3dcd6d-969d-471b-a53f-a1e8a85eae0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3dcd6d-969d-471b-a53f-a1e8a85eae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D55271-8D0A-4734-9886-4ADCF1ED02C2}">
  <ds:schemaRefs>
    <ds:schemaRef ds:uri="http://schemas.microsoft.com/sharepoint/v3/contenttype/forms"/>
  </ds:schemaRefs>
</ds:datastoreItem>
</file>

<file path=customXml/itemProps2.xml><?xml version="1.0" encoding="utf-8"?>
<ds:datastoreItem xmlns:ds="http://schemas.openxmlformats.org/officeDocument/2006/customXml" ds:itemID="{C5D65408-776E-41A6-956C-2ACC6512DDBF}">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terms/"/>
    <ds:schemaRef ds:uri="http://www.w3.org/XML/1998/namespace"/>
    <ds:schemaRef ds:uri="http://schemas.openxmlformats.org/package/2006/metadata/core-properties"/>
    <ds:schemaRef ds:uri="6d3dcd6d-969d-471b-a53f-a1e8a85eae05"/>
    <ds:schemaRef ds:uri="http://purl.org/dc/elements/1.1/"/>
  </ds:schemaRefs>
</ds:datastoreItem>
</file>

<file path=customXml/itemProps3.xml><?xml version="1.0" encoding="utf-8"?>
<ds:datastoreItem xmlns:ds="http://schemas.openxmlformats.org/officeDocument/2006/customXml" ds:itemID="{6FC4A70C-E163-452F-A8B3-CF643C51E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3dcd6d-969d-471b-a53f-a1e8a85ea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5</vt:i4>
      </vt:variant>
    </vt:vector>
  </HeadingPairs>
  <TitlesOfParts>
    <vt:vector size="12" baseType="lpstr">
      <vt:lpstr>Budžeta_tāme</vt:lpstr>
      <vt:lpstr>PZ_aprēķins</vt:lpstr>
      <vt:lpstr>Bilance</vt:lpstr>
      <vt:lpstr>Naudas_plūsma</vt:lpstr>
      <vt:lpstr>Naturālie_rādītāji</vt:lpstr>
      <vt:lpstr>Ieguldījumu tāme</vt:lpstr>
      <vt:lpstr>Kreditori_Debitori</vt:lpstr>
      <vt:lpstr>Bilance!Drukas_apgabals</vt:lpstr>
      <vt:lpstr>Budžeta_tāme!Drukas_apgabals</vt:lpstr>
      <vt:lpstr>Kreditori_Debitori!Drukas_apgabals</vt:lpstr>
      <vt:lpstr>Naturālie_rādītāji!Drukas_apgabals</vt:lpstr>
      <vt:lpstr>Naturālie_rādītāji!Drukāt_virsrakstus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Šoka</dc:creator>
  <cp:lastModifiedBy>Anita Vaivode</cp:lastModifiedBy>
  <cp:lastPrinted>2023-02-09T15:43:02Z</cp:lastPrinted>
  <dcterms:created xsi:type="dcterms:W3CDTF">2015-06-08T06:33:04Z</dcterms:created>
  <dcterms:modified xsi:type="dcterms:W3CDTF">2023-02-13T12:44:20Z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0x010100FC8CAB5F429D7742B2306E6786D35992</vt:lpwstr>
  </property>
</Properties>
</file>