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Dokumenti\2021 gads\BUDZETS\"/>
    </mc:Choice>
  </mc:AlternateContent>
  <xr:revisionPtr revIDLastSave="0" documentId="8_{1E23EB85-B16A-49E3-BE04-F2035AA1CAED}" xr6:coauthVersionLast="46" xr6:coauthVersionMax="46" xr10:uidLastSave="{00000000-0000-0000-0000-000000000000}"/>
  <bookViews>
    <workbookView xWindow="28680" yWindow="-120" windowWidth="29040" windowHeight="15840" xr2:uid="{00000000-000D-0000-FFFF-FFFF00000000}"/>
  </bookViews>
  <sheets>
    <sheet name="Budžeta_tāme" sheetId="13" r:id="rId1"/>
    <sheet name="Naudas plūsma" sheetId="20" r:id="rId2"/>
    <sheet name="Naturālie_rādītāji" sheetId="14" r:id="rId3"/>
    <sheet name="PZ_aprēķins" sheetId="15" r:id="rId4"/>
    <sheet name="Bilance" sheetId="16" r:id="rId5"/>
    <sheet name="Ieguldījumu_tāme" sheetId="19" r:id="rId6"/>
  </sheets>
  <externalReferences>
    <externalReference r:id="rId7"/>
  </externalReferences>
  <definedNames>
    <definedName name="dff">#NAME?</definedName>
    <definedName name="_xlnm.Print_Area" localSheetId="0">Budžeta_tāme!$A$1:$K$193</definedName>
    <definedName name="hh">#REF!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3" l="1"/>
  <c r="H47" i="16" l="1"/>
  <c r="G47" i="16"/>
  <c r="F47" i="16"/>
  <c r="E47" i="16"/>
  <c r="D47" i="16"/>
  <c r="C47" i="16"/>
  <c r="H43" i="16"/>
  <c r="G43" i="16"/>
  <c r="G42" i="16" s="1"/>
  <c r="F43" i="16"/>
  <c r="F42" i="16" s="1"/>
  <c r="E43" i="16"/>
  <c r="D43" i="16"/>
  <c r="C43" i="16"/>
  <c r="C42" i="16" s="1"/>
  <c r="H42" i="16"/>
  <c r="E42" i="16"/>
  <c r="D42" i="16"/>
  <c r="H39" i="16"/>
  <c r="G39" i="16"/>
  <c r="F39" i="16"/>
  <c r="F28" i="16" s="1"/>
  <c r="E39" i="16"/>
  <c r="D39" i="16"/>
  <c r="C39" i="16"/>
  <c r="H32" i="16"/>
  <c r="G32" i="16"/>
  <c r="F32" i="16"/>
  <c r="E32" i="16"/>
  <c r="E28" i="16" s="1"/>
  <c r="D32" i="16"/>
  <c r="C32" i="16"/>
  <c r="D29" i="16"/>
  <c r="C29" i="16"/>
  <c r="C28" i="16" s="1"/>
  <c r="H28" i="16"/>
  <c r="G28" i="16"/>
  <c r="D28" i="16"/>
  <c r="H17" i="16"/>
  <c r="H58" i="16" s="1"/>
  <c r="G17" i="16"/>
  <c r="G58" i="16" s="1"/>
  <c r="F17" i="16"/>
  <c r="F58" i="16" s="1"/>
  <c r="E17" i="16"/>
  <c r="E58" i="16" s="1"/>
  <c r="D17" i="16"/>
  <c r="D58" i="16" s="1"/>
  <c r="C17" i="16"/>
  <c r="C58" i="16" s="1"/>
  <c r="H11" i="16"/>
  <c r="H57" i="16" s="1"/>
  <c r="G11" i="16"/>
  <c r="G57" i="16" s="1"/>
  <c r="G56" i="16" s="1"/>
  <c r="F11" i="16"/>
  <c r="F57" i="16" s="1"/>
  <c r="F56" i="16" s="1"/>
  <c r="E11" i="16"/>
  <c r="E57" i="16" s="1"/>
  <c r="D11" i="16"/>
  <c r="D57" i="16" s="1"/>
  <c r="C11" i="16"/>
  <c r="C57" i="16" s="1"/>
  <c r="C56" i="16" s="1"/>
  <c r="H10" i="16"/>
  <c r="H26" i="16" s="1"/>
  <c r="E10" i="16"/>
  <c r="C10" i="16"/>
  <c r="H6" i="16"/>
  <c r="G6" i="16"/>
  <c r="F6" i="16"/>
  <c r="F3" i="16" s="1"/>
  <c r="E6" i="16"/>
  <c r="E3" i="16" s="1"/>
  <c r="D6" i="16"/>
  <c r="C6" i="16"/>
  <c r="C3" i="16" s="1"/>
  <c r="H3" i="16"/>
  <c r="G3" i="16"/>
  <c r="D3" i="16"/>
  <c r="H5" i="15"/>
  <c r="H15" i="15" s="1"/>
  <c r="H22" i="15" s="1"/>
  <c r="G5" i="15"/>
  <c r="G15" i="15" s="1"/>
  <c r="G22" i="15" s="1"/>
  <c r="F5" i="15"/>
  <c r="F15" i="15" s="1"/>
  <c r="F22" i="15" s="1"/>
  <c r="E5" i="15"/>
  <c r="E15" i="15" s="1"/>
  <c r="E22" i="15" s="1"/>
  <c r="D5" i="15"/>
  <c r="D15" i="15" s="1"/>
  <c r="D22" i="15" s="1"/>
  <c r="C5" i="15"/>
  <c r="C15" i="15" s="1"/>
  <c r="C22" i="15" s="1"/>
  <c r="E26" i="16" l="1"/>
  <c r="G10" i="16"/>
  <c r="G26" i="16" s="1"/>
  <c r="C54" i="16"/>
  <c r="G54" i="16"/>
  <c r="D54" i="16"/>
  <c r="C26" i="16"/>
  <c r="D10" i="16"/>
  <c r="D26" i="16" s="1"/>
  <c r="E54" i="16"/>
  <c r="H54" i="16"/>
  <c r="D56" i="16"/>
  <c r="H56" i="16"/>
  <c r="F54" i="16"/>
  <c r="E56" i="16"/>
  <c r="F10" i="16"/>
  <c r="F26" i="16" s="1"/>
  <c r="H41" i="20" l="1"/>
  <c r="H40" i="20"/>
  <c r="G41" i="20"/>
  <c r="G35" i="20" s="1"/>
  <c r="G40" i="20"/>
  <c r="E41" i="20"/>
  <c r="E40" i="20"/>
  <c r="E126" i="20"/>
  <c r="E123" i="20"/>
  <c r="E120" i="20"/>
  <c r="E117" i="20"/>
  <c r="E114" i="20"/>
  <c r="E111" i="20"/>
  <c r="E101" i="20"/>
  <c r="E98" i="20"/>
  <c r="E95" i="20"/>
  <c r="E92" i="20"/>
  <c r="E89" i="20"/>
  <c r="E85" i="20"/>
  <c r="E82" i="20"/>
  <c r="E79" i="20"/>
  <c r="E76" i="20"/>
  <c r="E73" i="20"/>
  <c r="E69" i="20"/>
  <c r="E66" i="20"/>
  <c r="E63" i="20"/>
  <c r="E60" i="20"/>
  <c r="E57" i="20"/>
  <c r="E47" i="20"/>
  <c r="E42" i="20"/>
  <c r="E35" i="20"/>
  <c r="E27" i="20"/>
  <c r="E24" i="20"/>
  <c r="E18" i="20"/>
  <c r="E15" i="20"/>
  <c r="E12" i="20"/>
  <c r="E7" i="20"/>
  <c r="E6" i="20" s="1"/>
  <c r="E5" i="20" s="1"/>
  <c r="F41" i="20"/>
  <c r="F40" i="20"/>
  <c r="F7" i="20"/>
  <c r="H126" i="20"/>
  <c r="H123" i="20"/>
  <c r="H120" i="20"/>
  <c r="H117" i="20"/>
  <c r="H114" i="20"/>
  <c r="H111" i="20"/>
  <c r="H101" i="20"/>
  <c r="H98" i="20"/>
  <c r="H95" i="20"/>
  <c r="H92" i="20"/>
  <c r="H89" i="20"/>
  <c r="H85" i="20"/>
  <c r="H82" i="20"/>
  <c r="H79" i="20"/>
  <c r="H76" i="20"/>
  <c r="H73" i="20"/>
  <c r="H69" i="20"/>
  <c r="H66" i="20"/>
  <c r="H63" i="20"/>
  <c r="H60" i="20"/>
  <c r="H57" i="20"/>
  <c r="H47" i="20"/>
  <c r="H42" i="20"/>
  <c r="H35" i="20"/>
  <c r="H34" i="20" s="1"/>
  <c r="H27" i="20"/>
  <c r="H24" i="20"/>
  <c r="H18" i="20"/>
  <c r="H15" i="20"/>
  <c r="H12" i="20"/>
  <c r="H7" i="20"/>
  <c r="G126" i="20"/>
  <c r="G123" i="20"/>
  <c r="G120" i="20"/>
  <c r="G117" i="20"/>
  <c r="G114" i="20"/>
  <c r="G111" i="20"/>
  <c r="G101" i="20"/>
  <c r="G98" i="20"/>
  <c r="G95" i="20"/>
  <c r="G92" i="20"/>
  <c r="G89" i="20"/>
  <c r="G85" i="20"/>
  <c r="G82" i="20"/>
  <c r="G79" i="20"/>
  <c r="G76" i="20"/>
  <c r="G73" i="20"/>
  <c r="G69" i="20"/>
  <c r="G66" i="20"/>
  <c r="G63" i="20"/>
  <c r="G60" i="20"/>
  <c r="G57" i="20"/>
  <c r="G47" i="20"/>
  <c r="G42" i="20"/>
  <c r="G27" i="20"/>
  <c r="G24" i="20"/>
  <c r="G18" i="20"/>
  <c r="G15" i="20"/>
  <c r="G12" i="20"/>
  <c r="G7" i="20"/>
  <c r="F126" i="20"/>
  <c r="F123" i="20"/>
  <c r="F120" i="20"/>
  <c r="F117" i="20"/>
  <c r="F114" i="20"/>
  <c r="F111" i="20"/>
  <c r="F101" i="20"/>
  <c r="F98" i="20"/>
  <c r="F95" i="20"/>
  <c r="F92" i="20"/>
  <c r="F89" i="20"/>
  <c r="F85" i="20"/>
  <c r="F82" i="20"/>
  <c r="F79" i="20"/>
  <c r="F76" i="20"/>
  <c r="F73" i="20"/>
  <c r="F69" i="20"/>
  <c r="F66" i="20"/>
  <c r="F63" i="20"/>
  <c r="F60" i="20"/>
  <c r="F57" i="20"/>
  <c r="F47" i="20"/>
  <c r="F42" i="20"/>
  <c r="F35" i="20"/>
  <c r="F34" i="20" s="1"/>
  <c r="F27" i="20"/>
  <c r="F24" i="20"/>
  <c r="F18" i="20"/>
  <c r="F15" i="20"/>
  <c r="F12" i="20"/>
  <c r="D138" i="20"/>
  <c r="D126" i="20"/>
  <c r="D123" i="20"/>
  <c r="D120" i="20"/>
  <c r="D117" i="20"/>
  <c r="D114" i="20"/>
  <c r="D111" i="20"/>
  <c r="D101" i="20"/>
  <c r="D98" i="20"/>
  <c r="D95" i="20"/>
  <c r="D92" i="20"/>
  <c r="D89" i="20"/>
  <c r="D85" i="20"/>
  <c r="D82" i="20"/>
  <c r="D79" i="20"/>
  <c r="D76" i="20"/>
  <c r="D73" i="20"/>
  <c r="D69" i="20"/>
  <c r="D66" i="20"/>
  <c r="D63" i="20"/>
  <c r="D60" i="20"/>
  <c r="D57" i="20"/>
  <c r="D47" i="20"/>
  <c r="D44" i="20"/>
  <c r="D42" i="20" s="1"/>
  <c r="D40" i="20"/>
  <c r="D39" i="20"/>
  <c r="D35" i="20"/>
  <c r="D33" i="20"/>
  <c r="D32" i="20"/>
  <c r="D31" i="20"/>
  <c r="D30" i="20"/>
  <c r="D28" i="20"/>
  <c r="D24" i="20"/>
  <c r="D18" i="20"/>
  <c r="D16" i="20"/>
  <c r="D15" i="20" s="1"/>
  <c r="D12" i="20"/>
  <c r="D10" i="20"/>
  <c r="D9" i="20"/>
  <c r="H6" i="20" l="1"/>
  <c r="H5" i="20" s="1"/>
  <c r="H45" i="20" s="1"/>
  <c r="G34" i="20"/>
  <c r="E34" i="20"/>
  <c r="E45" i="20" s="1"/>
  <c r="E88" i="20"/>
  <c r="E72" i="20"/>
  <c r="E110" i="20"/>
  <c r="E107" i="20" s="1"/>
  <c r="E130" i="20" s="1"/>
  <c r="E56" i="20"/>
  <c r="D7" i="20"/>
  <c r="D6" i="20" s="1"/>
  <c r="G6" i="20"/>
  <c r="G5" i="20" s="1"/>
  <c r="G56" i="20"/>
  <c r="H72" i="20"/>
  <c r="H110" i="20"/>
  <c r="H107" i="20" s="1"/>
  <c r="H130" i="20" s="1"/>
  <c r="H88" i="20"/>
  <c r="H56" i="20"/>
  <c r="G88" i="20"/>
  <c r="G72" i="20"/>
  <c r="G110" i="20"/>
  <c r="G107" i="20" s="1"/>
  <c r="G130" i="20" s="1"/>
  <c r="D34" i="20"/>
  <c r="F6" i="20"/>
  <c r="F5" i="20" s="1"/>
  <c r="F45" i="20" s="1"/>
  <c r="D27" i="20"/>
  <c r="F110" i="20"/>
  <c r="F107" i="20" s="1"/>
  <c r="F130" i="20" s="1"/>
  <c r="F72" i="20"/>
  <c r="F56" i="20"/>
  <c r="F88" i="20"/>
  <c r="D72" i="20"/>
  <c r="D110" i="20"/>
  <c r="D107" i="20" s="1"/>
  <c r="D130" i="20" s="1"/>
  <c r="D88" i="20"/>
  <c r="D56" i="20"/>
  <c r="G45" i="20" l="1"/>
  <c r="E55" i="20"/>
  <c r="E53" i="20" s="1"/>
  <c r="E105" i="20" s="1"/>
  <c r="E133" i="20" s="1"/>
  <c r="E138" i="20" s="1"/>
  <c r="D5" i="20"/>
  <c r="D45" i="20" s="1"/>
  <c r="H55" i="20"/>
  <c r="H53" i="20" s="1"/>
  <c r="H105" i="20" s="1"/>
  <c r="G55" i="20"/>
  <c r="G53" i="20" s="1"/>
  <c r="G105" i="20" s="1"/>
  <c r="F55" i="20"/>
  <c r="F53" i="20" s="1"/>
  <c r="F105" i="20" s="1"/>
  <c r="D55" i="20"/>
  <c r="D53" i="20" s="1"/>
  <c r="D105" i="20" s="1"/>
  <c r="C126" i="20" l="1"/>
  <c r="C123" i="20"/>
  <c r="C120" i="20"/>
  <c r="C117" i="20"/>
  <c r="C114" i="20"/>
  <c r="C111" i="20"/>
  <c r="C101" i="20"/>
  <c r="C98" i="20"/>
  <c r="C95" i="20"/>
  <c r="C92" i="20"/>
  <c r="C89" i="20"/>
  <c r="C85" i="20"/>
  <c r="C82" i="20"/>
  <c r="C79" i="20"/>
  <c r="C76" i="20"/>
  <c r="C73" i="20"/>
  <c r="C69" i="20"/>
  <c r="C66" i="20"/>
  <c r="C63" i="20"/>
  <c r="C60" i="20"/>
  <c r="C57" i="20"/>
  <c r="C47" i="20"/>
  <c r="C42" i="20"/>
  <c r="C40" i="20"/>
  <c r="C39" i="20"/>
  <c r="C35" i="20" s="1"/>
  <c r="C30" i="20"/>
  <c r="C27" i="20" s="1"/>
  <c r="C24" i="20"/>
  <c r="C18" i="20"/>
  <c r="C15" i="20"/>
  <c r="C12" i="20"/>
  <c r="C7" i="20"/>
  <c r="H87" i="14"/>
  <c r="H86" i="14"/>
  <c r="G87" i="14"/>
  <c r="G86" i="14"/>
  <c r="F87" i="14"/>
  <c r="F86" i="14"/>
  <c r="E87" i="14"/>
  <c r="E86" i="14"/>
  <c r="C34" i="20" l="1"/>
  <c r="C6" i="20"/>
  <c r="C5" i="20" s="1"/>
  <c r="C88" i="20"/>
  <c r="C110" i="20"/>
  <c r="C107" i="20" s="1"/>
  <c r="C130" i="20" s="1"/>
  <c r="C56" i="20"/>
  <c r="C72" i="20"/>
  <c r="C45" i="20"/>
  <c r="H93" i="19"/>
  <c r="G93" i="19"/>
  <c r="F93" i="19"/>
  <c r="E93" i="19"/>
  <c r="D93" i="19"/>
  <c r="C93" i="19"/>
  <c r="H90" i="19"/>
  <c r="G90" i="19"/>
  <c r="F90" i="19"/>
  <c r="E90" i="19"/>
  <c r="D90" i="19"/>
  <c r="C90" i="19"/>
  <c r="H84" i="19"/>
  <c r="G84" i="19"/>
  <c r="F84" i="19"/>
  <c r="E84" i="19"/>
  <c r="C84" i="19"/>
  <c r="H81" i="19"/>
  <c r="G81" i="19"/>
  <c r="F81" i="19"/>
  <c r="E81" i="19"/>
  <c r="C81" i="19"/>
  <c r="H78" i="19"/>
  <c r="G78" i="19"/>
  <c r="F78" i="19"/>
  <c r="E78" i="19"/>
  <c r="D78" i="19"/>
  <c r="C78" i="19"/>
  <c r="H75" i="19"/>
  <c r="G75" i="19"/>
  <c r="F75" i="19"/>
  <c r="E75" i="19"/>
  <c r="G29" i="19"/>
  <c r="G26" i="19" s="1"/>
  <c r="F28" i="19"/>
  <c r="F26" i="19" s="1"/>
  <c r="H26" i="19"/>
  <c r="E26" i="19"/>
  <c r="D25" i="19"/>
  <c r="C25" i="19"/>
  <c r="H16" i="19"/>
  <c r="G16" i="19"/>
  <c r="F16" i="19"/>
  <c r="E16" i="19"/>
  <c r="D16" i="19"/>
  <c r="C16" i="19"/>
  <c r="H13" i="19"/>
  <c r="G13" i="19"/>
  <c r="F13" i="19"/>
  <c r="E13" i="19"/>
  <c r="D13" i="19"/>
  <c r="C13" i="19"/>
  <c r="H10" i="19"/>
  <c r="G10" i="19"/>
  <c r="F10" i="19"/>
  <c r="E10" i="19"/>
  <c r="D10" i="19"/>
  <c r="C10" i="19"/>
  <c r="H7" i="19"/>
  <c r="G7" i="19"/>
  <c r="F7" i="19"/>
  <c r="E7" i="19"/>
  <c r="D7" i="19"/>
  <c r="C7" i="19"/>
  <c r="H4" i="19"/>
  <c r="G4" i="19"/>
  <c r="F4" i="19"/>
  <c r="E4" i="19"/>
  <c r="D4" i="19"/>
  <c r="C4" i="19"/>
  <c r="H25" i="19" l="1"/>
  <c r="H24" i="19" s="1"/>
  <c r="G25" i="19"/>
  <c r="C55" i="20"/>
  <c r="C53" i="20" s="1"/>
  <c r="C105" i="20" s="1"/>
  <c r="D24" i="19"/>
  <c r="G3" i="19"/>
  <c r="C24" i="19"/>
  <c r="F3" i="19"/>
  <c r="C3" i="19"/>
  <c r="D3" i="19"/>
  <c r="F25" i="19"/>
  <c r="F24" i="19" s="1"/>
  <c r="H3" i="19"/>
  <c r="G24" i="19"/>
  <c r="E3" i="19"/>
  <c r="E25" i="19"/>
  <c r="E24" i="19" s="1"/>
  <c r="G96" i="19" l="1"/>
  <c r="F96" i="19"/>
  <c r="C96" i="19"/>
  <c r="D96" i="19"/>
  <c r="E96" i="19"/>
  <c r="H96" i="19"/>
  <c r="D37" i="13"/>
  <c r="C124" i="13"/>
  <c r="D183" i="13"/>
  <c r="E183" i="13"/>
  <c r="F183" i="13"/>
  <c r="G183" i="13"/>
  <c r="H183" i="13"/>
  <c r="D173" i="13"/>
  <c r="E173" i="13"/>
  <c r="F173" i="13"/>
  <c r="G173" i="13"/>
  <c r="H173" i="13"/>
  <c r="G165" i="13"/>
  <c r="D165" i="13"/>
  <c r="E165" i="13"/>
  <c r="F165" i="13"/>
  <c r="H165" i="13"/>
  <c r="D140" i="13"/>
  <c r="E140" i="13"/>
  <c r="F140" i="13"/>
  <c r="G140" i="13"/>
  <c r="G139" i="13" s="1"/>
  <c r="H140" i="13"/>
  <c r="D139" i="13"/>
  <c r="E139" i="13"/>
  <c r="F139" i="13"/>
  <c r="H139" i="13"/>
  <c r="D129" i="13"/>
  <c r="E129" i="13"/>
  <c r="F129" i="13"/>
  <c r="G129" i="13"/>
  <c r="H129" i="13"/>
  <c r="D124" i="13"/>
  <c r="E124" i="13"/>
  <c r="F124" i="13"/>
  <c r="G124" i="13"/>
  <c r="H124" i="13"/>
  <c r="D121" i="13"/>
  <c r="E121" i="13"/>
  <c r="F121" i="13"/>
  <c r="G121" i="13"/>
  <c r="H121" i="13"/>
  <c r="D115" i="13"/>
  <c r="E115" i="13"/>
  <c r="E114" i="13" s="1"/>
  <c r="E103" i="13" s="1"/>
  <c r="F115" i="13"/>
  <c r="G115" i="13"/>
  <c r="H115" i="13"/>
  <c r="H114" i="13" s="1"/>
  <c r="H103" i="13" s="1"/>
  <c r="D114" i="13"/>
  <c r="D109" i="13"/>
  <c r="E109" i="13"/>
  <c r="F109" i="13"/>
  <c r="G109" i="13"/>
  <c r="H109" i="13"/>
  <c r="D104" i="13"/>
  <c r="E104" i="13"/>
  <c r="F104" i="13"/>
  <c r="G104" i="13"/>
  <c r="H104" i="13"/>
  <c r="D97" i="13"/>
  <c r="E97" i="13"/>
  <c r="F97" i="13"/>
  <c r="G97" i="13"/>
  <c r="H97" i="13"/>
  <c r="D91" i="13"/>
  <c r="E91" i="13"/>
  <c r="F91" i="13"/>
  <c r="G91" i="13"/>
  <c r="H91" i="13"/>
  <c r="D83" i="13"/>
  <c r="E83" i="13"/>
  <c r="F83" i="13"/>
  <c r="G83" i="13"/>
  <c r="H83" i="13"/>
  <c r="D75" i="13"/>
  <c r="E75" i="13"/>
  <c r="F75" i="13"/>
  <c r="G75" i="13"/>
  <c r="H75" i="13"/>
  <c r="D69" i="13"/>
  <c r="E69" i="13"/>
  <c r="F69" i="13"/>
  <c r="G69" i="13"/>
  <c r="H69" i="13"/>
  <c r="D67" i="13"/>
  <c r="H67" i="13"/>
  <c r="D64" i="13"/>
  <c r="E64" i="13"/>
  <c r="F64" i="13"/>
  <c r="G64" i="13"/>
  <c r="H64" i="13"/>
  <c r="D61" i="13"/>
  <c r="E61" i="13"/>
  <c r="F61" i="13"/>
  <c r="G61" i="13"/>
  <c r="G60" i="13" s="1"/>
  <c r="H61" i="13"/>
  <c r="F60" i="13"/>
  <c r="H60" i="13"/>
  <c r="D53" i="13"/>
  <c r="E53" i="13"/>
  <c r="F53" i="13"/>
  <c r="G53" i="13"/>
  <c r="G51" i="13" s="1"/>
  <c r="H53" i="13"/>
  <c r="D51" i="13"/>
  <c r="E51" i="13"/>
  <c r="F51" i="13"/>
  <c r="H51" i="13"/>
  <c r="D40" i="13"/>
  <c r="E40" i="13"/>
  <c r="F40" i="13"/>
  <c r="F36" i="13" s="1"/>
  <c r="G40" i="13"/>
  <c r="G36" i="13" s="1"/>
  <c r="H40" i="13"/>
  <c r="C37" i="13"/>
  <c r="E36" i="13"/>
  <c r="H36" i="13"/>
  <c r="D36" i="13"/>
  <c r="D25" i="13"/>
  <c r="E25" i="13"/>
  <c r="F25" i="13"/>
  <c r="G25" i="13"/>
  <c r="H25" i="13"/>
  <c r="D16" i="13"/>
  <c r="E16" i="13"/>
  <c r="F16" i="13"/>
  <c r="G16" i="13"/>
  <c r="H16" i="13"/>
  <c r="C16" i="13"/>
  <c r="D13" i="13"/>
  <c r="E13" i="13"/>
  <c r="F13" i="13"/>
  <c r="G13" i="13"/>
  <c r="H13" i="13"/>
  <c r="D5" i="13"/>
  <c r="D4" i="13" s="1"/>
  <c r="D3" i="13" s="1"/>
  <c r="D182" i="13" s="1"/>
  <c r="E5" i="13"/>
  <c r="F5" i="13"/>
  <c r="G5" i="13"/>
  <c r="H5" i="13"/>
  <c r="H4" i="13" s="1"/>
  <c r="H3" i="13" s="1"/>
  <c r="H182" i="13" s="1"/>
  <c r="C5" i="13"/>
  <c r="E4" i="13"/>
  <c r="E3" i="13" s="1"/>
  <c r="E182" i="13" s="1"/>
  <c r="C187" i="13"/>
  <c r="C183" i="13"/>
  <c r="C173" i="13"/>
  <c r="C168" i="13"/>
  <c r="C167" i="13" s="1"/>
  <c r="C165" i="13" s="1"/>
  <c r="C158" i="13"/>
  <c r="C154" i="13"/>
  <c r="C150" i="13" s="1"/>
  <c r="C151" i="13"/>
  <c r="C140" i="13"/>
  <c r="C139" i="13" s="1"/>
  <c r="C130" i="13"/>
  <c r="C129" i="13" s="1"/>
  <c r="C121" i="13"/>
  <c r="C115" i="13"/>
  <c r="C114" i="13"/>
  <c r="C109" i="13"/>
  <c r="C104" i="13"/>
  <c r="C97" i="13"/>
  <c r="C91" i="13"/>
  <c r="C89" i="13"/>
  <c r="C86" i="13"/>
  <c r="C84" i="13"/>
  <c r="C75" i="13"/>
  <c r="C69" i="13"/>
  <c r="C66" i="13"/>
  <c r="C64" i="13" s="1"/>
  <c r="C60" i="13" s="1"/>
  <c r="C61" i="13"/>
  <c r="C53" i="13"/>
  <c r="C51" i="13" s="1"/>
  <c r="C40" i="13"/>
  <c r="C33" i="13"/>
  <c r="C28" i="13"/>
  <c r="C26" i="13"/>
  <c r="C25" i="13" s="1"/>
  <c r="C22" i="13"/>
  <c r="C14" i="13"/>
  <c r="C13" i="13" s="1"/>
  <c r="C10" i="13"/>
  <c r="C36" i="13" l="1"/>
  <c r="C35" i="13" s="1"/>
  <c r="C103" i="13"/>
  <c r="C59" i="13" s="1"/>
  <c r="C34" i="13" s="1"/>
  <c r="C163" i="13" s="1"/>
  <c r="C191" i="13" s="1"/>
  <c r="E60" i="13"/>
  <c r="D60" i="13"/>
  <c r="E67" i="13"/>
  <c r="D103" i="13"/>
  <c r="F114" i="13"/>
  <c r="F103" i="13" s="1"/>
  <c r="C83" i="13"/>
  <c r="C67" i="13" s="1"/>
  <c r="H35" i="13"/>
  <c r="C133" i="20"/>
  <c r="D133" i="20"/>
  <c r="G114" i="13"/>
  <c r="G103" i="13" s="1"/>
  <c r="H59" i="13"/>
  <c r="H34" i="13" s="1"/>
  <c r="H163" i="13" s="1"/>
  <c r="F67" i="13"/>
  <c r="D59" i="13"/>
  <c r="E59" i="13"/>
  <c r="G67" i="13"/>
  <c r="F59" i="13"/>
  <c r="G35" i="13"/>
  <c r="F35" i="13"/>
  <c r="D35" i="13"/>
  <c r="E35" i="13"/>
  <c r="F4" i="13"/>
  <c r="F3" i="13" s="1"/>
  <c r="C4" i="13"/>
  <c r="C3" i="13" s="1"/>
  <c r="C182" i="13" s="1"/>
  <c r="G4" i="13"/>
  <c r="G3" i="13" s="1"/>
  <c r="I13" i="14"/>
  <c r="F182" i="13" l="1"/>
  <c r="G182" i="13"/>
  <c r="H191" i="13"/>
  <c r="H164" i="13"/>
  <c r="H172" i="13" s="1"/>
  <c r="H193" i="13" s="1"/>
  <c r="F3" i="20"/>
  <c r="F133" i="20" s="1"/>
  <c r="G59" i="13"/>
  <c r="E34" i="13"/>
  <c r="E163" i="13" s="1"/>
  <c r="D34" i="13"/>
  <c r="D163" i="13" s="1"/>
  <c r="F34" i="13"/>
  <c r="F163" i="13" s="1"/>
  <c r="F191" i="13" s="1"/>
  <c r="G34" i="13"/>
  <c r="G163" i="13" s="1"/>
  <c r="G191" i="13" s="1"/>
  <c r="C164" i="13"/>
  <c r="C172" i="13" s="1"/>
  <c r="C193" i="13" s="1"/>
  <c r="I9" i="14"/>
  <c r="I10" i="14"/>
  <c r="I7" i="14"/>
  <c r="I6" i="14"/>
  <c r="G164" i="13" l="1"/>
  <c r="G172" i="13" s="1"/>
  <c r="G193" i="13" s="1"/>
  <c r="F164" i="13"/>
  <c r="F172" i="13" s="1"/>
  <c r="F193" i="13" s="1"/>
  <c r="E191" i="13"/>
  <c r="E164" i="13"/>
  <c r="E172" i="13" s="1"/>
  <c r="E193" i="13" s="1"/>
  <c r="G133" i="20"/>
  <c r="F138" i="20"/>
  <c r="D191" i="13"/>
  <c r="D164" i="13"/>
  <c r="D172" i="13" s="1"/>
  <c r="D193" i="13" s="1"/>
  <c r="I193" i="13" s="1"/>
  <c r="I11" i="14"/>
  <c r="H133" i="20" l="1"/>
  <c r="H138" i="20" s="1"/>
  <c r="G138" i="20"/>
  <c r="I91" i="14" l="1"/>
  <c r="J91" i="14" s="1"/>
  <c r="I89" i="14"/>
  <c r="J89" i="14" s="1"/>
  <c r="I88" i="14"/>
  <c r="J88" i="14" s="1"/>
  <c r="I87" i="14"/>
  <c r="J87" i="14" s="1"/>
  <c r="I86" i="14"/>
  <c r="J86" i="14" s="1"/>
  <c r="I85" i="14"/>
  <c r="J85" i="14" s="1"/>
  <c r="I84" i="14"/>
  <c r="J84" i="14" s="1"/>
  <c r="I82" i="14"/>
  <c r="J82" i="14" s="1"/>
  <c r="I81" i="14"/>
  <c r="J81" i="14" s="1"/>
  <c r="I80" i="14"/>
  <c r="J80" i="14" s="1"/>
  <c r="I79" i="14"/>
  <c r="J79" i="14" s="1"/>
  <c r="I77" i="14"/>
  <c r="J77" i="14" s="1"/>
  <c r="I76" i="14"/>
  <c r="J76" i="14" s="1"/>
  <c r="I75" i="14"/>
  <c r="J75" i="14" s="1"/>
  <c r="I74" i="14"/>
  <c r="J74" i="14" s="1"/>
  <c r="I73" i="14"/>
  <c r="J73" i="14" s="1"/>
  <c r="I71" i="14"/>
  <c r="J71" i="14" s="1"/>
  <c r="I70" i="14"/>
  <c r="J70" i="14" s="1"/>
  <c r="I69" i="14"/>
  <c r="J69" i="14" s="1"/>
  <c r="I68" i="14"/>
  <c r="J68" i="14" s="1"/>
  <c r="I67" i="14"/>
  <c r="J67" i="14" s="1"/>
  <c r="I65" i="14"/>
  <c r="J65" i="14" s="1"/>
  <c r="I64" i="14"/>
  <c r="J64" i="14" s="1"/>
  <c r="I63" i="14"/>
  <c r="J63" i="14" s="1"/>
  <c r="I62" i="14"/>
  <c r="J62" i="14" s="1"/>
  <c r="I61" i="14"/>
  <c r="J61" i="14" s="1"/>
  <c r="I59" i="14"/>
  <c r="J59" i="14" s="1"/>
  <c r="I58" i="14"/>
  <c r="J58" i="14" s="1"/>
  <c r="I57" i="14"/>
  <c r="J57" i="14" s="1"/>
  <c r="I56" i="14"/>
  <c r="J56" i="14" s="1"/>
  <c r="I55" i="14"/>
  <c r="J55" i="14" s="1"/>
  <c r="I52" i="14"/>
  <c r="J52" i="14" s="1"/>
  <c r="I51" i="14"/>
  <c r="J51" i="14" s="1"/>
  <c r="I50" i="14"/>
  <c r="J50" i="14" s="1"/>
  <c r="I49" i="14"/>
  <c r="J49" i="14" s="1"/>
  <c r="I48" i="14"/>
  <c r="J48" i="14" s="1"/>
  <c r="I46" i="14"/>
  <c r="J46" i="14" s="1"/>
  <c r="I45" i="14"/>
  <c r="J45" i="14" s="1"/>
  <c r="I44" i="14"/>
  <c r="J44" i="14" s="1"/>
  <c r="I43" i="14"/>
  <c r="J43" i="14" s="1"/>
  <c r="I42" i="14"/>
  <c r="J42" i="14" s="1"/>
  <c r="I40" i="14"/>
  <c r="J40" i="14" s="1"/>
  <c r="I39" i="14"/>
  <c r="J39" i="14" s="1"/>
  <c r="I38" i="14"/>
  <c r="J38" i="14" s="1"/>
  <c r="I37" i="14"/>
  <c r="J37" i="14" s="1"/>
  <c r="I36" i="14"/>
  <c r="J36" i="14" s="1"/>
  <c r="I35" i="14"/>
  <c r="J35" i="14" s="1"/>
  <c r="I34" i="14"/>
  <c r="J34" i="14" s="1"/>
  <c r="I33" i="14"/>
  <c r="J33" i="14" s="1"/>
  <c r="I30" i="14"/>
  <c r="J30" i="14" s="1"/>
  <c r="I29" i="14"/>
  <c r="J29" i="14" s="1"/>
  <c r="I28" i="14"/>
  <c r="J28" i="14" s="1"/>
  <c r="I27" i="14"/>
  <c r="J27" i="14" s="1"/>
  <c r="I26" i="14"/>
  <c r="J26" i="14" s="1"/>
  <c r="I25" i="14"/>
  <c r="J25" i="14" s="1"/>
  <c r="I24" i="14"/>
  <c r="J24" i="14" s="1"/>
  <c r="I23" i="14"/>
  <c r="J23" i="14" s="1"/>
  <c r="I22" i="14"/>
  <c r="J22" i="14" s="1"/>
  <c r="I21" i="14"/>
  <c r="J21" i="14" s="1"/>
  <c r="I20" i="14"/>
  <c r="J20" i="14" s="1"/>
  <c r="I19" i="14"/>
  <c r="J19" i="14" s="1"/>
  <c r="I18" i="14"/>
  <c r="J18" i="14" s="1"/>
  <c r="I17" i="14"/>
  <c r="J17" i="14" s="1"/>
  <c r="I16" i="14"/>
  <c r="J16" i="14" s="1"/>
  <c r="J13" i="14"/>
  <c r="J11" i="14"/>
  <c r="J10" i="14"/>
  <c r="J9" i="14"/>
  <c r="J7" i="14"/>
  <c r="J6" i="14"/>
  <c r="I32" i="14" l="1"/>
  <c r="J32" i="14" s="1"/>
  <c r="I8" i="14"/>
  <c r="J8" i="14" s="1"/>
  <c r="I66" i="14"/>
  <c r="J66" i="14" s="1"/>
  <c r="I54" i="14"/>
  <c r="J54" i="14" s="1"/>
  <c r="I60" i="14"/>
  <c r="J60" i="14" s="1"/>
  <c r="I72" i="14"/>
  <c r="J72" i="14" s="1"/>
  <c r="I5" i="14"/>
  <c r="J5" i="14" s="1"/>
  <c r="I12" i="14" l="1"/>
  <c r="J12" i="14" s="1"/>
  <c r="I14" i="14"/>
  <c r="J14" i="14" s="1"/>
  <c r="I192" i="13" l="1"/>
  <c r="J192" i="13" s="1"/>
  <c r="I190" i="13"/>
  <c r="J190" i="13" s="1"/>
  <c r="I189" i="13"/>
  <c r="J189" i="13" s="1"/>
  <c r="I188" i="13"/>
  <c r="J188" i="13" s="1"/>
  <c r="I187" i="13"/>
  <c r="J187" i="13" s="1"/>
  <c r="I186" i="13"/>
  <c r="J186" i="13" s="1"/>
  <c r="I185" i="13"/>
  <c r="J185" i="13" s="1"/>
  <c r="I184" i="13"/>
  <c r="J184" i="13" s="1"/>
  <c r="I181" i="13"/>
  <c r="J181" i="13" s="1"/>
  <c r="I180" i="13"/>
  <c r="J180" i="13" s="1"/>
  <c r="I179" i="13"/>
  <c r="J179" i="13" s="1"/>
  <c r="I178" i="13"/>
  <c r="J178" i="13" s="1"/>
  <c r="I177" i="13"/>
  <c r="J177" i="13" s="1"/>
  <c r="I176" i="13"/>
  <c r="J176" i="13" s="1"/>
  <c r="I175" i="13"/>
  <c r="J175" i="13" s="1"/>
  <c r="I174" i="13"/>
  <c r="J174" i="13" s="1"/>
  <c r="I171" i="13"/>
  <c r="J171" i="13" s="1"/>
  <c r="I170" i="13"/>
  <c r="J170" i="13" s="1"/>
  <c r="I169" i="13"/>
  <c r="J169" i="13" s="1"/>
  <c r="I168" i="13"/>
  <c r="J168" i="13" s="1"/>
  <c r="I166" i="13"/>
  <c r="J166" i="13" s="1"/>
  <c r="I162" i="13"/>
  <c r="J162" i="13" s="1"/>
  <c r="I161" i="13"/>
  <c r="J161" i="13" s="1"/>
  <c r="I160" i="13"/>
  <c r="J160" i="13" s="1"/>
  <c r="I159" i="13"/>
  <c r="J159" i="13" s="1"/>
  <c r="I157" i="13"/>
  <c r="J157" i="13" s="1"/>
  <c r="I156" i="13"/>
  <c r="J156" i="13" s="1"/>
  <c r="I155" i="13"/>
  <c r="J155" i="13" s="1"/>
  <c r="I153" i="13"/>
  <c r="J153" i="13" s="1"/>
  <c r="I152" i="13"/>
  <c r="J152" i="13" s="1"/>
  <c r="I149" i="13"/>
  <c r="J149" i="13" s="1"/>
  <c r="I148" i="13"/>
  <c r="J148" i="13" s="1"/>
  <c r="I147" i="13"/>
  <c r="J147" i="13" s="1"/>
  <c r="I146" i="13"/>
  <c r="J146" i="13" s="1"/>
  <c r="I145" i="13"/>
  <c r="J145" i="13" s="1"/>
  <c r="I144" i="13"/>
  <c r="J144" i="13" s="1"/>
  <c r="I143" i="13"/>
  <c r="J143" i="13" s="1"/>
  <c r="I142" i="13"/>
  <c r="J142" i="13" s="1"/>
  <c r="I141" i="13"/>
  <c r="J141" i="13" s="1"/>
  <c r="I138" i="13"/>
  <c r="J138" i="13" s="1"/>
  <c r="I137" i="13"/>
  <c r="J137" i="13" s="1"/>
  <c r="I136" i="13"/>
  <c r="J136" i="13" s="1"/>
  <c r="I135" i="13"/>
  <c r="J135" i="13" s="1"/>
  <c r="I134" i="13"/>
  <c r="J134" i="13" s="1"/>
  <c r="I133" i="13"/>
  <c r="J133" i="13" s="1"/>
  <c r="I132" i="13"/>
  <c r="J132" i="13" s="1"/>
  <c r="I131" i="13"/>
  <c r="J131" i="13" s="1"/>
  <c r="I128" i="13"/>
  <c r="J128" i="13" s="1"/>
  <c r="I127" i="13"/>
  <c r="J127" i="13" s="1"/>
  <c r="I126" i="13"/>
  <c r="J126" i="13" s="1"/>
  <c r="I125" i="13"/>
  <c r="J125" i="13" s="1"/>
  <c r="I123" i="13"/>
  <c r="J123" i="13" s="1"/>
  <c r="I122" i="13"/>
  <c r="J122" i="13" s="1"/>
  <c r="I120" i="13"/>
  <c r="J120" i="13" s="1"/>
  <c r="I119" i="13"/>
  <c r="J119" i="13" s="1"/>
  <c r="I118" i="13"/>
  <c r="J118" i="13" s="1"/>
  <c r="I117" i="13"/>
  <c r="J117" i="13" s="1"/>
  <c r="I116" i="13"/>
  <c r="J116" i="13" s="1"/>
  <c r="I113" i="13"/>
  <c r="J113" i="13" s="1"/>
  <c r="I112" i="13"/>
  <c r="J112" i="13" s="1"/>
  <c r="I111" i="13"/>
  <c r="J111" i="13" s="1"/>
  <c r="I110" i="13"/>
  <c r="J110" i="13" s="1"/>
  <c r="I108" i="13"/>
  <c r="J108" i="13" s="1"/>
  <c r="I107" i="13"/>
  <c r="J107" i="13" s="1"/>
  <c r="I106" i="13"/>
  <c r="J106" i="13" s="1"/>
  <c r="I105" i="13"/>
  <c r="J105" i="13" s="1"/>
  <c r="I102" i="13"/>
  <c r="J102" i="13" s="1"/>
  <c r="I101" i="13"/>
  <c r="J101" i="13" s="1"/>
  <c r="I100" i="13"/>
  <c r="J100" i="13" s="1"/>
  <c r="I99" i="13"/>
  <c r="J99" i="13" s="1"/>
  <c r="I98" i="13"/>
  <c r="J98" i="13" s="1"/>
  <c r="I96" i="13"/>
  <c r="J96" i="13" s="1"/>
  <c r="I95" i="13"/>
  <c r="J95" i="13" s="1"/>
  <c r="I94" i="13"/>
  <c r="J94" i="13" s="1"/>
  <c r="I93" i="13"/>
  <c r="J93" i="13" s="1"/>
  <c r="I92" i="13"/>
  <c r="J92" i="13" s="1"/>
  <c r="I90" i="13"/>
  <c r="J90" i="13" s="1"/>
  <c r="I88" i="13"/>
  <c r="J88" i="13" s="1"/>
  <c r="I87" i="13"/>
  <c r="J87" i="13" s="1"/>
  <c r="I86" i="13"/>
  <c r="J86" i="13" s="1"/>
  <c r="I85" i="13"/>
  <c r="J85" i="13" s="1"/>
  <c r="I84" i="13"/>
  <c r="J84" i="13" s="1"/>
  <c r="I82" i="13"/>
  <c r="J82" i="13" s="1"/>
  <c r="I81" i="13"/>
  <c r="J81" i="13" s="1"/>
  <c r="I80" i="13"/>
  <c r="J80" i="13" s="1"/>
  <c r="I79" i="13"/>
  <c r="J79" i="13" s="1"/>
  <c r="I78" i="13"/>
  <c r="J78" i="13" s="1"/>
  <c r="I77" i="13"/>
  <c r="J77" i="13" s="1"/>
  <c r="I76" i="13"/>
  <c r="J76" i="13" s="1"/>
  <c r="I74" i="13"/>
  <c r="J74" i="13" s="1"/>
  <c r="I73" i="13"/>
  <c r="J73" i="13" s="1"/>
  <c r="I72" i="13"/>
  <c r="J72" i="13" s="1"/>
  <c r="I71" i="13"/>
  <c r="J71" i="13" s="1"/>
  <c r="I70" i="13"/>
  <c r="J70" i="13" s="1"/>
  <c r="I68" i="13"/>
  <c r="J68" i="13" s="1"/>
  <c r="I65" i="13"/>
  <c r="J65" i="13" s="1"/>
  <c r="I63" i="13"/>
  <c r="J63" i="13" s="1"/>
  <c r="I62" i="13"/>
  <c r="J62" i="13" s="1"/>
  <c r="I61" i="13"/>
  <c r="J61" i="13" s="1"/>
  <c r="I58" i="13"/>
  <c r="J58" i="13" s="1"/>
  <c r="I57" i="13"/>
  <c r="J57" i="13" s="1"/>
  <c r="I56" i="13"/>
  <c r="J56" i="13" s="1"/>
  <c r="I55" i="13"/>
  <c r="J55" i="13" s="1"/>
  <c r="I54" i="13"/>
  <c r="J54" i="13" s="1"/>
  <c r="I52" i="13"/>
  <c r="J52" i="13" s="1"/>
  <c r="I50" i="13"/>
  <c r="J50" i="13" s="1"/>
  <c r="I49" i="13"/>
  <c r="J49" i="13" s="1"/>
  <c r="I48" i="13"/>
  <c r="J48" i="13" s="1"/>
  <c r="I47" i="13"/>
  <c r="J47" i="13" s="1"/>
  <c r="I46" i="13"/>
  <c r="J46" i="13" s="1"/>
  <c r="I45" i="13"/>
  <c r="J45" i="13" s="1"/>
  <c r="I44" i="13"/>
  <c r="J44" i="13" s="1"/>
  <c r="I43" i="13"/>
  <c r="J43" i="13" s="1"/>
  <c r="I42" i="13"/>
  <c r="J42" i="13" s="1"/>
  <c r="I41" i="13"/>
  <c r="J41" i="13" s="1"/>
  <c r="I39" i="13"/>
  <c r="J39" i="13" s="1"/>
  <c r="I38" i="13"/>
  <c r="J38" i="13" s="1"/>
  <c r="I36" i="13"/>
  <c r="J36" i="13" s="1"/>
  <c r="I33" i="13"/>
  <c r="J33" i="13" s="1"/>
  <c r="I32" i="13"/>
  <c r="J32" i="13" s="1"/>
  <c r="I31" i="13"/>
  <c r="J31" i="13" s="1"/>
  <c r="I30" i="13"/>
  <c r="J30" i="13" s="1"/>
  <c r="I29" i="13"/>
  <c r="J29" i="13" s="1"/>
  <c r="I27" i="13"/>
  <c r="J27" i="13" s="1"/>
  <c r="I26" i="13"/>
  <c r="J26" i="13" s="1"/>
  <c r="I24" i="13"/>
  <c r="J24" i="13" s="1"/>
  <c r="I23" i="13"/>
  <c r="J23" i="13" s="1"/>
  <c r="I21" i="13"/>
  <c r="J21" i="13" s="1"/>
  <c r="I20" i="13"/>
  <c r="J20" i="13" s="1"/>
  <c r="I19" i="13"/>
  <c r="J19" i="13" s="1"/>
  <c r="I18" i="13"/>
  <c r="J18" i="13" s="1"/>
  <c r="I17" i="13"/>
  <c r="J17" i="13" s="1"/>
  <c r="I15" i="13"/>
  <c r="J15" i="13" s="1"/>
  <c r="I12" i="13"/>
  <c r="J12" i="13" s="1"/>
  <c r="I11" i="13"/>
  <c r="J11" i="13" s="1"/>
  <c r="I9" i="13"/>
  <c r="J9" i="13" s="1"/>
  <c r="I8" i="13"/>
  <c r="J8" i="13" s="1"/>
  <c r="J7" i="13"/>
  <c r="I6" i="13"/>
  <c r="J6" i="13" s="1"/>
  <c r="I89" i="13" l="1"/>
  <c r="J89" i="13" s="1"/>
  <c r="I69" i="13"/>
  <c r="J69" i="13" s="1"/>
  <c r="I22" i="13"/>
  <c r="J22" i="13" s="1"/>
  <c r="I64" i="13"/>
  <c r="J64" i="13" s="1"/>
  <c r="I66" i="13"/>
  <c r="J66" i="13" s="1"/>
  <c r="I104" i="13"/>
  <c r="J104" i="13" s="1"/>
  <c r="I121" i="13"/>
  <c r="J121" i="13" s="1"/>
  <c r="I115" i="13"/>
  <c r="J115" i="13" s="1"/>
  <c r="I10" i="13"/>
  <c r="J10" i="13" s="1"/>
  <c r="I16" i="13"/>
  <c r="J16" i="13" s="1"/>
  <c r="I53" i="13"/>
  <c r="J53" i="13" s="1"/>
  <c r="I109" i="13"/>
  <c r="J109" i="13" s="1"/>
  <c r="I51" i="13"/>
  <c r="J51" i="13" s="1"/>
  <c r="I5" i="13"/>
  <c r="J5" i="13" s="1"/>
  <c r="I37" i="13"/>
  <c r="J37" i="13" s="1"/>
  <c r="I40" i="13"/>
  <c r="J40" i="13" s="1"/>
  <c r="I60" i="13"/>
  <c r="J60" i="13" s="1"/>
  <c r="I75" i="13"/>
  <c r="J75" i="13" s="1"/>
  <c r="I97" i="13"/>
  <c r="J97" i="13" s="1"/>
  <c r="I91" i="13"/>
  <c r="J91" i="13" s="1"/>
  <c r="I124" i="13"/>
  <c r="J124" i="13" s="1"/>
  <c r="I25" i="13"/>
  <c r="J25" i="13" s="1"/>
  <c r="I13" i="13"/>
  <c r="J13" i="13" s="1"/>
  <c r="I14" i="13"/>
  <c r="J14" i="13" s="1"/>
  <c r="I28" i="13"/>
  <c r="J28" i="13" s="1"/>
  <c r="I140" i="13"/>
  <c r="J140" i="13" s="1"/>
  <c r="I151" i="13"/>
  <c r="J151" i="13" s="1"/>
  <c r="I158" i="13"/>
  <c r="J158" i="13" s="1"/>
  <c r="I173" i="13"/>
  <c r="J173" i="13" s="1"/>
  <c r="I139" i="13"/>
  <c r="J139" i="13" s="1"/>
  <c r="I183" i="13"/>
  <c r="J183" i="13" s="1"/>
  <c r="I130" i="13"/>
  <c r="J130" i="13" s="1"/>
  <c r="I165" i="13"/>
  <c r="J165" i="13" s="1"/>
  <c r="I167" i="13"/>
  <c r="J167" i="13" s="1"/>
  <c r="I154" i="13"/>
  <c r="J154" i="13" s="1"/>
  <c r="I83" i="13" l="1"/>
  <c r="J83" i="13" s="1"/>
  <c r="I35" i="13"/>
  <c r="J35" i="13" s="1"/>
  <c r="I114" i="13"/>
  <c r="J114" i="13" s="1"/>
  <c r="I150" i="13"/>
  <c r="J150" i="13" s="1"/>
  <c r="I67" i="13"/>
  <c r="J67" i="13" s="1"/>
  <c r="I4" i="13"/>
  <c r="J4" i="13" s="1"/>
  <c r="I129" i="13"/>
  <c r="J129" i="13" s="1"/>
  <c r="I103" i="13" l="1"/>
  <c r="J103" i="13" s="1"/>
  <c r="I182" i="13"/>
  <c r="J182" i="13" s="1"/>
  <c r="I3" i="13"/>
  <c r="J3" i="13" s="1"/>
  <c r="I59" i="13" l="1"/>
  <c r="J59" i="13" s="1"/>
  <c r="I34" i="13" l="1"/>
  <c r="J34" i="13" s="1"/>
  <c r="I191" i="13" l="1"/>
  <c r="J191" i="13" s="1"/>
  <c r="I163" i="13"/>
  <c r="J163" i="13" s="1"/>
  <c r="I164" i="13" l="1"/>
  <c r="J164" i="13" s="1"/>
  <c r="I172" i="13" l="1"/>
  <c r="J172" i="13" s="1"/>
  <c r="J193" i="13"/>
</calcChain>
</file>

<file path=xl/sharedStrings.xml><?xml version="1.0" encoding="utf-8"?>
<sst xmlns="http://schemas.openxmlformats.org/spreadsheetml/2006/main" count="883" uniqueCount="691">
  <si>
    <t>Kods</t>
  </si>
  <si>
    <t>Budžeta pozīcijas</t>
  </si>
  <si>
    <t>A</t>
  </si>
  <si>
    <t>I   IEŅĒMUMI NO SAIMNIECISKĀS DARBĪBAS KOPĀ</t>
  </si>
  <si>
    <t>Valsts budžeta līdzekļi</t>
  </si>
  <si>
    <t xml:space="preserve">stacionārai palīdzībai </t>
  </si>
  <si>
    <t>pacientu iemaksas par atbrīvotajām kategorijām (stacionāram)</t>
  </si>
  <si>
    <t>ambulatorai palīdzībai</t>
  </si>
  <si>
    <t>pacientu iemaksas par atbrīvotajām kategorijām (ambulatorai p.)</t>
  </si>
  <si>
    <t>asins sagatavošanas nodaļas pakalpojumiem</t>
  </si>
  <si>
    <t>citi ieņēmumi (piem.reģistru uztur., retajiem medikam. utt.)</t>
  </si>
  <si>
    <t>Ieņēmumi par valsts finansēto zinātnisko darbību (TOP;GRANTI)</t>
  </si>
  <si>
    <t>Valsts pārvaldes deleģēto uzdevumu veikšana (Černobiļas apliecības izsniegšana)</t>
  </si>
  <si>
    <t>Pakalpojumi no maznodrošinātajiem</t>
  </si>
  <si>
    <t>Dotācija no pašvaldības budžeta</t>
  </si>
  <si>
    <t>Uzņēmuma  nopelnītie līdzekļi</t>
  </si>
  <si>
    <t>pārējie saimnieciskās darbības ieņēmumi</t>
  </si>
  <si>
    <t>Saņemtās pacientu iemaksas (stacionāram)</t>
  </si>
  <si>
    <t>Saņemtās pacientu iemaksas (ambulatorai p.)</t>
  </si>
  <si>
    <t>Ziedojumi</t>
  </si>
  <si>
    <t>Pacienta līdzmaksājums par operāciju</t>
  </si>
  <si>
    <t>B</t>
  </si>
  <si>
    <t>1000</t>
  </si>
  <si>
    <t>ATLĪDZĪBA</t>
  </si>
  <si>
    <t>Atalgojums - kopā</t>
  </si>
  <si>
    <t>Mēneša amatalga</t>
  </si>
  <si>
    <t>Samaksa par darbu svētku dienās un virsstundu darbu</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</si>
  <si>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</si>
  <si>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</si>
  <si>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</si>
  <si>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</si>
  <si>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</si>
  <si>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</si>
  <si>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</si>
  <si>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Valsts sociālās apdrošināšanas  obligātās iemaksas</t>
  </si>
  <si>
    <t>Darba devēja sociāla rakstura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</si>
  <si>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</si>
  <si>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</si>
  <si>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</si>
  <si>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</si>
  <si>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</si>
  <si>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</si>
  <si>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Dienas nauda</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</si>
  <si>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</si>
  <si>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</si>
  <si>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</si>
  <si>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</si>
  <si>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</si>
  <si>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</si>
  <si>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Normatīvajos aktos noteiktie darba devēja veselības izdevumi darba ņēmējiem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</si>
  <si>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</si>
  <si>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</si>
  <si>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</si>
  <si>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</si>
  <si>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</si>
  <si>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</si>
  <si>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</si>
  <si>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</si>
  <si>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</si>
  <si>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</si>
  <si>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</si>
  <si>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</si>
  <si>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Maksājumi par saņemtajiem finanšu pakalpojumiem</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</si>
  <si>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</si>
  <si>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</si>
  <si>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</si>
  <si>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</si>
  <si>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</si>
  <si>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</si>
  <si>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</si>
  <si>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</si>
  <si>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</si>
  <si>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</si>
  <si>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</si>
  <si>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</si>
  <si>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</si>
  <si>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</si>
  <si>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</si>
  <si>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</si>
  <si>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</si>
  <si>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</si>
  <si>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</si>
  <si>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</si>
  <si>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</si>
  <si>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</si>
  <si>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Pakalpojumi, kurus budžeta iestādes apmaksā noteikto funkciju ietvaros, kas nav iestādes administratīvie izdevumi</t>
  </si>
  <si>
    <t>PROCENTU IZDEVUMI</t>
  </si>
  <si>
    <t>Procentu maksājumi ārvalstu un starptautiskajām finanšu institūcijām</t>
  </si>
  <si>
    <t>Procentu maksājumi ārvalstu un starptautiskajām finanšu institūcijām no atvasināto finanšu instrumentu rezultāta</t>
  </si>
  <si>
    <t>Procentu maksājumi iekšzemes kredītiestādēm</t>
  </si>
  <si>
    <t>Procentu maksājumi iekšzemes kredītiestādēm no atvasināto finanšu instrumentu rezultāta</t>
  </si>
  <si>
    <t>Pārējie procentu maksājumi</t>
  </si>
  <si>
    <t>Procentu maksājumi Valsts kasei</t>
  </si>
  <si>
    <t>C</t>
  </si>
  <si>
    <t>KOPĀ IZDEVUMI</t>
  </si>
  <si>
    <t>D</t>
  </si>
  <si>
    <t>N O L I E T O J U M S</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</si>
  <si>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</si>
  <si>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</si>
  <si>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</si>
  <si>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</si>
  <si>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</si>
  <si>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</si>
  <si>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</si>
  <si>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</si>
  <si>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</si>
  <si>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</si>
  <si>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</si>
  <si>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</si>
  <si>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</si>
  <si>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</si>
  <si>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</si>
  <si>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</si>
  <si>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</si>
  <si>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</si>
  <si>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</si>
  <si>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</si>
  <si>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Atliktā UIN saistības</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</si>
  <si>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</si>
  <si>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</si>
  <si>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</si>
  <si>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</si>
  <si>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</si>
  <si>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</si>
  <si>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</si>
  <si>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</si>
  <si>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</si>
  <si>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</si>
  <si>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</si>
  <si>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</si>
  <si>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</si>
  <si>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</si>
  <si>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</si>
  <si>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</si>
  <si>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</si>
  <si>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</si>
  <si>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</si>
  <si>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</si>
  <si>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</si>
  <si>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</si>
  <si>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00143</t>
  </si>
  <si>
    <t>00144</t>
  </si>
  <si>
    <t>0020</t>
  </si>
  <si>
    <t>00211</t>
  </si>
  <si>
    <t>0030</t>
  </si>
  <si>
    <t>maksas veselības aprūpes pakalpojumi</t>
  </si>
  <si>
    <t>maksas sociālie pakalpojumi</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</si>
  <si>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</si>
  <si>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</si>
  <si>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</si>
  <si>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</si>
  <si>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</si>
  <si>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</si>
  <si>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</si>
  <si>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</si>
  <si>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</si>
  <si>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</si>
  <si>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</si>
  <si>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</si>
  <si>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</si>
  <si>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</si>
  <si>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</si>
  <si>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</si>
  <si>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</si>
  <si>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</si>
  <si>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</si>
  <si>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Procentu maksājumi iekšzemes finanšu institūcijām par aizņēmumiem un vērtspapīriem</t>
  </si>
  <si>
    <t>Līzinga procentu maksājumi</t>
  </si>
  <si>
    <t>Procentu maksājumi par aizņēmumiem no pašvaldību budžeta</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</si>
  <si>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</si>
  <si>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</si>
  <si>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</si>
  <si>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</si>
  <si>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</si>
  <si>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</si>
  <si>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</si>
  <si>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</si>
  <si>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</si>
  <si>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</si>
  <si>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</si>
  <si>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</si>
  <si>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H</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</si>
  <si>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</si>
  <si>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</si>
  <si>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</si>
  <si>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</si>
  <si>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</si>
  <si>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</si>
  <si>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</si>
  <si>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</si>
  <si>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</si>
  <si>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</si>
  <si>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</si>
  <si>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</si>
  <si>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</si>
  <si>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</si>
  <si>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</si>
  <si>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</si>
  <si>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</si>
  <si>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</si>
  <si>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</si>
  <si>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</si>
  <si>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</si>
  <si>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</si>
  <si>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</si>
  <si>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</si>
  <si>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</si>
  <si>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</si>
  <si>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</si>
  <si>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</si>
  <si>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</si>
  <si>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</si>
  <si>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</si>
  <si>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</si>
  <si>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</si>
  <si>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</si>
  <si>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</si>
  <si>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</si>
  <si>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</si>
  <si>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</si>
  <si>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</si>
  <si>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</si>
  <si>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</si>
  <si>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</si>
  <si>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</si>
  <si>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</si>
  <si>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</si>
  <si>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</si>
  <si>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</si>
  <si>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</si>
  <si>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</si>
  <si>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</si>
  <si>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</si>
  <si>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</si>
  <si>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</si>
  <si>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</si>
  <si>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</si>
  <si>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</si>
  <si>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</si>
  <si>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</si>
  <si>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</si>
  <si>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</si>
  <si>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</si>
  <si>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</si>
  <si>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</si>
  <si>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</si>
  <si>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</si>
  <si>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</si>
  <si>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</si>
  <si>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</si>
  <si>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</si>
  <si>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</si>
  <si>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</si>
  <si>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</si>
  <si>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</si>
  <si>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</si>
  <si>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</si>
  <si>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</si>
  <si>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</si>
  <si>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</si>
  <si>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</si>
  <si>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</si>
  <si>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</si>
  <si>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</si>
  <si>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</si>
  <si>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</si>
  <si>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</si>
  <si>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</si>
  <si>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</si>
  <si>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</si>
  <si>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</si>
  <si>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</si>
  <si>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</si>
  <si>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</si>
  <si>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</si>
  <si>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</si>
  <si>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</si>
  <si>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</si>
  <si>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</si>
  <si>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</si>
  <si>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</si>
  <si>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</si>
  <si>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</si>
  <si>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Naturālie rādītāji</t>
  </si>
  <si>
    <t>23231</t>
  </si>
  <si>
    <t>23232</t>
  </si>
  <si>
    <t>VADC asins komponenti</t>
  </si>
  <si>
    <t>Medicīnas preces</t>
  </si>
  <si>
    <t>Implanti</t>
  </si>
  <si>
    <t>Medicīnas instrumenti</t>
  </si>
  <si>
    <t>Asins iegāde (izdevumi atlīdzībai donoriem)</t>
  </si>
  <si>
    <t>00311</t>
  </si>
  <si>
    <t>00312</t>
  </si>
  <si>
    <t>Kapitālais remonts un rekonstrukcija</t>
  </si>
  <si>
    <t>Metodiskie norādījumi veidlapas aizpildīšanai:</t>
  </si>
  <si>
    <t>Kopā intelektuālie īpašumi</t>
  </si>
  <si>
    <t>Kopā nekustamie īpašumi</t>
  </si>
  <si>
    <t>Kopā kustamie īpašumi</t>
  </si>
  <si>
    <t>Kopā ieguldījumi</t>
  </si>
  <si>
    <t>Medicīnas un laboratoijas iekārtas t.sk.:</t>
  </si>
  <si>
    <t>Pārējās tehnoloģiskās iekārtas un mašīnas t.sk.:</t>
  </si>
  <si>
    <t>Pārējās licences, koncesijas un patenti, preču zīmes un tamlīdzīgas tiesības t.sk.:</t>
  </si>
  <si>
    <t>Saņemtās pacientu iemaksas (ambulatorai palīdzībai)</t>
  </si>
  <si>
    <t>pacientu iemaksas par atbrīvotajām kategorijām (ambulatorai palīdzībai)</t>
  </si>
  <si>
    <t>Atalgojums (1100)</t>
  </si>
  <si>
    <t>Darba devēja valsts sociālās apdrošināšanas obligātās iemaksas, sociāla rakstura pabalsti un kompensācijas (1200)</t>
  </si>
  <si>
    <t>Mācību, darba un dienesta komandējumi, darba braucieni (2100)</t>
  </si>
  <si>
    <t>Pakalpojumi (2200)</t>
  </si>
  <si>
    <t>Krājumi, materiāli, energoresursi, preces, biroja preces un inventārs, kurus neuzskaita kodā 5000 (2300; bez 2340)</t>
  </si>
  <si>
    <t>Zāles, ķimikālijas, laboratorijas preces, medicīniskās ierīces, medicīniskie instrumenti, laboratorijas dzīvnieki un to uzturēšana (2340)</t>
  </si>
  <si>
    <t>Procentu izdevumi (4000)</t>
  </si>
  <si>
    <t>Pārējie izdevumi (2400;2500; 2800)</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</si>
  <si>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</si>
  <si>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</si>
  <si>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</si>
  <si>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</si>
  <si>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</si>
  <si>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</si>
  <si>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</si>
  <si>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</si>
  <si>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</si>
  <si>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</si>
  <si>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</si>
  <si>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</si>
  <si>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</si>
  <si>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</si>
  <si>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</si>
  <si>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</si>
  <si>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</si>
  <si>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</si>
  <si>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Zāles (medikamenti)</t>
  </si>
  <si>
    <t>Medikamenti noteikto funkciju nodrošināšanai</t>
  </si>
  <si>
    <t>Bezmaksas saņemto medikamentu un medicīnas preču, kas novērtētas naudas izteiksmē izlietojums</t>
  </si>
  <si>
    <t>Darba devēja pabalsti un kompensācijas, no kā neaprēķina iedzīvotāju ienākuma nodokli un valsts sociālās apdrošināšanas obligātās iemaksas</t>
  </si>
  <si>
    <t>Citi ieņēmumi (Ieņēmumi no bez atlīdzības saņemtajām precēm, investīcijām u.tml.)</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</si>
  <si>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</si>
  <si>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</si>
  <si>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</si>
  <si>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</si>
  <si>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</si>
  <si>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</si>
  <si>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</si>
  <si>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</si>
  <si>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</si>
  <si>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</si>
  <si>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Sterilizācijas un dezinfekcijas līdzekļi</t>
  </si>
  <si>
    <t>Laboratorijas preces</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</si>
  <si>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</si>
  <si>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</si>
  <si>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</si>
  <si>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</si>
  <si>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</si>
  <si>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</si>
  <si>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</si>
  <si>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Procentu maksājumi ārvalstu un starptautiskajām finanšu institūcijām par aizņēmumiem un vērtspapīriem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</si>
  <si>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</si>
  <si>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</si>
  <si>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</si>
  <si>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</si>
  <si>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</si>
  <si>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</si>
  <si>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</si>
  <si>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Bilances posteņi</t>
  </si>
  <si>
    <t>Pašu kapitāls</t>
  </si>
  <si>
    <t>Pamatkapitāls</t>
  </si>
  <si>
    <t>Pārējās rezerves</t>
  </si>
  <si>
    <t>Nesadalītā peļņa:</t>
  </si>
  <si>
    <t>Iepriekšējo gadu nesadalītā peļņa</t>
  </si>
  <si>
    <t>Pārskata gada nesadalītā peļņa</t>
  </si>
  <si>
    <t>Uzkrājumi</t>
  </si>
  <si>
    <t>Kreditori</t>
  </si>
  <si>
    <t>Ilgtermiņa kreditori</t>
  </si>
  <si>
    <t>Aizņēmumi no kredītiestādēm</t>
  </si>
  <si>
    <t>Atliktā uzņēmuma ienākuma nodokļa saistības</t>
  </si>
  <si>
    <t>Citi aizņēmumi</t>
  </si>
  <si>
    <t>Nākamo periodu ieņēmumi</t>
  </si>
  <si>
    <t>Citi kreditori</t>
  </si>
  <si>
    <t>Īstermiņa kreditori</t>
  </si>
  <si>
    <t>No pircējiem saņemtie avansi</t>
  </si>
  <si>
    <t>Parādi piegādātājiem un darbuzņēmējiem</t>
  </si>
  <si>
    <t>Nodokļi un sociālās nodroš.maksājumi</t>
  </si>
  <si>
    <t>Pārējie kreditori</t>
  </si>
  <si>
    <t>Uzkrātās saistības</t>
  </si>
  <si>
    <t>PASĪVU KOPSUMMA (45 000+46 000+47 000+48 000)</t>
  </si>
  <si>
    <t>Ilgtermiņa ieguldījumi</t>
  </si>
  <si>
    <t>Nemateriālie ieguldījumi</t>
  </si>
  <si>
    <t>Koncesijas,patenti,licences</t>
  </si>
  <si>
    <t>Avansa maksājumi par nemater.ieguldījumiem</t>
  </si>
  <si>
    <t>Pamatlīdzekļi</t>
  </si>
  <si>
    <t>Zemes gabali,ēkas un būves un ilggadīgie stādījumi</t>
  </si>
  <si>
    <t>Iekārtas un mašīnas</t>
  </si>
  <si>
    <t>Pārējie pamatlīdzekļi un inventārs</t>
  </si>
  <si>
    <t>Pamatl.izveidošana un nepab.celtniecība</t>
  </si>
  <si>
    <t>Avansa maksājumi par pamatlīdzekļiem</t>
  </si>
  <si>
    <t>Ieguldījumi nomātos pamatlīdzekļos</t>
  </si>
  <si>
    <t>Ilgtermiņa finanšu ieguldījumi</t>
  </si>
  <si>
    <t>Līdzdalība radniecīgo uzņēmumu kapitālā</t>
  </si>
  <si>
    <t>Pārējie vērtspapīri un ieguldījumi fondos</t>
  </si>
  <si>
    <t>Apgrozāmie līdzekļi</t>
  </si>
  <si>
    <t>Krājumi</t>
  </si>
  <si>
    <t>Izejvielas, pamatmateriāli un palīgmateriāli</t>
  </si>
  <si>
    <t>Gatavie ražojumi un preces pārdošanai</t>
  </si>
  <si>
    <t>Avansa maksājumi par precēm</t>
  </si>
  <si>
    <t>Debitori</t>
  </si>
  <si>
    <t>Pircēju,pasūtītāju parādi</t>
  </si>
  <si>
    <t>Radniecīgo uzņēmumu parādi</t>
  </si>
  <si>
    <t>Citi debitori</t>
  </si>
  <si>
    <t>Nākamo periodu izmaksas</t>
  </si>
  <si>
    <t>Uzkrātie ieņēmumi</t>
  </si>
  <si>
    <t>Nauda</t>
  </si>
  <si>
    <t>AKTĪVU KOPSUMMA (50 000+51 000)</t>
  </si>
  <si>
    <t>Kredītsaistības  (21 000+22 000)</t>
  </si>
  <si>
    <t xml:space="preserve">Ilgtermiņa kredītsaistības kopā </t>
  </si>
  <si>
    <t xml:space="preserve">Īstermiņa kredītsaistības kopā </t>
  </si>
  <si>
    <t>00150</t>
  </si>
  <si>
    <t>Finansējums Tehnisko palīglīdzekļu centra funkciju nodrošināšanai</t>
  </si>
  <si>
    <t>00212</t>
  </si>
  <si>
    <t>Veselības aprūpes pakalpojumiem</t>
  </si>
  <si>
    <t>Sociāliem pakalpojumiem</t>
  </si>
  <si>
    <t>Skaidrojumi</t>
  </si>
  <si>
    <t>Ieņēmumi par valsts finansēto zinātnisko darbību (TOP; GRANTI)</t>
  </si>
  <si>
    <t>Pārējie komandējumu un darba braucienu izdevumi</t>
  </si>
  <si>
    <t>Izdevumi par sakaru pakalpojumiem</t>
  </si>
  <si>
    <t>Izdevumi par siltumenerģiju</t>
  </si>
  <si>
    <t>Izdevumi par ūdensapgādi un kanalizāciju</t>
  </si>
  <si>
    <t>Dažādi pakalpojumi</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</si>
  <si>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</si>
  <si>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</si>
  <si>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</si>
  <si>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</si>
  <si>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</si>
  <si>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</si>
  <si>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</si>
  <si>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</si>
  <si>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</si>
  <si>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</si>
  <si>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</si>
  <si>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</si>
  <si>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</si>
  <si>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</si>
  <si>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</si>
  <si>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</si>
  <si>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</si>
  <si>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</si>
  <si>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Valsts budžeta (Valsts kases) procentu maksājumi</t>
  </si>
  <si>
    <t>Pārējie iepriekš neklasificētie procentu maksājumi</t>
  </si>
  <si>
    <t>Nemateriālo ieguldījumu nolietojums</t>
  </si>
  <si>
    <t>Rādītāja nosaukums</t>
  </si>
  <si>
    <t>Neto apgrozījums</t>
  </si>
  <si>
    <t>Pārdotās produkcijas ražošanas izmaksas</t>
  </si>
  <si>
    <t>Bruto peļņa vai zaudējumi (no apgrozījuma)</t>
  </si>
  <si>
    <t>Pārdošanas izmaksas</t>
  </si>
  <si>
    <t>Administrācijas izmaksas</t>
  </si>
  <si>
    <t xml:space="preserve">Pārējie saimnieciskās darbības ieņēmumi </t>
  </si>
  <si>
    <t>Pārējie saimnieciskās darbības izmaksas</t>
  </si>
  <si>
    <t>Ieņēmumi no līdzdalības meitas un asociēto sabiedrību kapitālos</t>
  </si>
  <si>
    <t>Ieņēmumi no vērtspapīriem un aizdevumiem, kas veidojuši ilgtermiņa aizdevumus</t>
  </si>
  <si>
    <t>Pārējie procentu ieņēmumi un tamlīdzīgi ieņēmumi</t>
  </si>
  <si>
    <t>Ilgtermiņa finanšu ieguldījumi un īstermiņa vērtspapīru vērtības norakstīšana</t>
  </si>
  <si>
    <t>Procentu maksājumi un tamlīdzīgas izmaksas</t>
  </si>
  <si>
    <t>Peļņa vai zaudējumi pirms ārkārtas posteņiem un nodokļiem</t>
  </si>
  <si>
    <t>Ārkārtas ieņēmumi</t>
  </si>
  <si>
    <t>Ārkārtas izmaksas</t>
  </si>
  <si>
    <t>Ārkārtas peļņa vai zaudējumi pirms nodokļiem</t>
  </si>
  <si>
    <t>Uzņēmuma ienākuma nodoklis par pārskata periodu</t>
  </si>
  <si>
    <t>Atliktā nodokļa ieņēmumi vai izmaksas</t>
  </si>
  <si>
    <t>Pārējie nodokļi</t>
  </si>
  <si>
    <t>Pārskata perioda peļņa vai zaudējumi pēc nodokļiem</t>
  </si>
  <si>
    <t>Nr.p.k.</t>
  </si>
  <si>
    <t>Naudas plūsmas pozīcijas</t>
  </si>
  <si>
    <t>Citi ieņēmumi (piem.reģistru uztur., retajiem medikam. utt.)</t>
  </si>
  <si>
    <r>
      <t xml:space="preserve">Eiropas Struktūrfondi investīcijām kopā </t>
    </r>
    <r>
      <rPr>
        <i/>
        <sz val="14"/>
        <rFont val="Times New Roman"/>
        <family val="1"/>
      </rPr>
      <t>(sadalījumā pa projektiem un/vai finansējuma mērķiem)</t>
    </r>
  </si>
  <si>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</si>
  <si>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</si>
  <si>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</si>
  <si>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</si>
  <si>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</si>
  <si>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</si>
  <si>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</si>
  <si>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</si>
  <si>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</si>
  <si>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</si>
  <si>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</si>
  <si>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</si>
  <si>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</si>
  <si>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</si>
  <si>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</si>
  <si>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</si>
  <si>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</si>
  <si>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</si>
  <si>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</si>
  <si>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</si>
  <si>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</si>
  <si>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</si>
  <si>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</si>
  <si>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</si>
  <si>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</si>
  <si>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</si>
  <si>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</si>
  <si>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</si>
  <si>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</si>
  <si>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</si>
  <si>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</si>
  <si>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</si>
  <si>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</si>
  <si>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</si>
  <si>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</si>
  <si>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</si>
  <si>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</si>
  <si>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 xml:space="preserve">projektu vadītājiem, departamentu direktoriem un to vietniekiem, tehniskajam direktoram, kā arī sekojošām struktūrvienībām: komunikācijas, personāla vadības, finanšu, </t>
  </si>
  <si>
    <r>
      <t xml:space="preserve">Pacientu skaits periodā, kuriem sniegta neatliekamā medicīniskā palīdzība un </t>
    </r>
    <r>
      <rPr>
        <i/>
        <sz val="14"/>
        <rFont val="Times New Roman"/>
        <family val="1"/>
      </rPr>
      <t>tie novirzīti turpmākai ambulatorai ārstēšanai</t>
    </r>
  </si>
  <si>
    <r>
      <t>Pacientu skaits periodā,</t>
    </r>
    <r>
      <rPr>
        <i/>
        <sz val="14"/>
        <rFont val="Times New Roman"/>
        <family val="1"/>
      </rPr>
      <t xml:space="preserve"> kuri stacionēti (bez observācijas)</t>
    </r>
  </si>
  <si>
    <r>
      <t xml:space="preserve">Pacientu skaits periodā, </t>
    </r>
    <r>
      <rPr>
        <i/>
        <sz val="14"/>
        <rFont val="Times New Roman"/>
        <family val="1"/>
      </rPr>
      <t>kuriem nodrošināts observācijas pakalpojums, t.sk.</t>
    </r>
  </si>
  <si>
    <r>
      <t>Vidējais</t>
    </r>
    <r>
      <rPr>
        <vertAlign val="superscript"/>
        <sz val="14"/>
        <rFont val="Times New Roman"/>
        <family val="1"/>
      </rPr>
      <t>1</t>
    </r>
    <r>
      <rPr>
        <sz val="14"/>
        <rFont val="Times New Roman"/>
        <family val="1"/>
      </rPr>
      <t xml:space="preserve"> observācijas gultu skaits</t>
    </r>
  </si>
  <si>
    <r>
      <t>Kopējais hospitalizācijas</t>
    </r>
    <r>
      <rPr>
        <vertAlign val="superscript"/>
        <sz val="14"/>
        <rFont val="Times New Roman"/>
        <family val="1"/>
      </rPr>
      <t>2</t>
    </r>
    <r>
      <rPr>
        <sz val="14"/>
        <rFont val="Times New Roman"/>
        <family val="1"/>
      </rPr>
      <t xml:space="preserve"> gadījumu skaits, t.sk.</t>
    </r>
  </si>
  <si>
    <r>
      <t>Plānveida hospitalizācijas</t>
    </r>
    <r>
      <rPr>
        <vertAlign val="superscript"/>
        <sz val="14"/>
        <rFont val="Times New Roman"/>
        <family val="1"/>
      </rPr>
      <t>2</t>
    </r>
    <r>
      <rPr>
        <sz val="14"/>
        <rFont val="Times New Roman"/>
        <family val="1"/>
      </rPr>
      <t xml:space="preserve"> gadījumu skaits, t.sk.:</t>
    </r>
  </si>
  <si>
    <r>
      <t>Neatliekamo hospitalizāciju</t>
    </r>
    <r>
      <rPr>
        <vertAlign val="superscript"/>
        <sz val="14"/>
        <rFont val="Times New Roman"/>
        <family val="1"/>
      </rPr>
      <t>2</t>
    </r>
    <r>
      <rPr>
        <sz val="14"/>
        <rFont val="Times New Roman"/>
        <family val="1"/>
      </rPr>
      <t xml:space="preserve"> gadījumu skaits, t.sk.:</t>
    </r>
  </si>
  <si>
    <r>
      <t xml:space="preserve">Klienta dienas vidējā realizācijas maksa, </t>
    </r>
    <r>
      <rPr>
        <i/>
        <sz val="14"/>
        <rFont val="Times New Roman"/>
        <family val="1"/>
      </rPr>
      <t>euro</t>
    </r>
  </si>
  <si>
    <r>
      <t xml:space="preserve">Klienta dienas vidējā pašizmaksa, </t>
    </r>
    <r>
      <rPr>
        <i/>
        <sz val="14"/>
        <rFont val="Times New Roman"/>
        <family val="1"/>
      </rPr>
      <t>euro</t>
    </r>
  </si>
  <si>
    <r>
      <t xml:space="preserve">Vidējais sociālās aprūpes ilgums, </t>
    </r>
    <r>
      <rPr>
        <i/>
        <sz val="14"/>
        <rFont val="Times New Roman"/>
        <family val="1"/>
      </rPr>
      <t xml:space="preserve">dienas </t>
    </r>
  </si>
  <si>
    <r>
      <t>Ārsti</t>
    </r>
    <r>
      <rPr>
        <vertAlign val="superscript"/>
        <sz val="14"/>
        <rFont val="Times New Roman"/>
        <family val="1"/>
      </rPr>
      <t>3</t>
    </r>
  </si>
  <si>
    <r>
      <t>Ārstniecības un pacientu aprūpes personāls</t>
    </r>
    <r>
      <rPr>
        <vertAlign val="superscript"/>
        <sz val="14"/>
        <rFont val="Times New Roman"/>
        <family val="1"/>
      </rPr>
      <t>4</t>
    </r>
  </si>
  <si>
    <r>
      <t>Ārstniecības un pacientu aprūpes atbalsta personāls</t>
    </r>
    <r>
      <rPr>
        <vertAlign val="superscript"/>
        <sz val="14"/>
        <rFont val="Times New Roman"/>
        <family val="1"/>
      </rPr>
      <t>5</t>
    </r>
  </si>
  <si>
    <r>
      <t>Administrācija</t>
    </r>
    <r>
      <rPr>
        <vertAlign val="superscript"/>
        <sz val="14"/>
        <rFont val="Times New Roman"/>
        <family val="1"/>
      </rPr>
      <t>6</t>
    </r>
  </si>
  <si>
    <r>
      <t>Pārējais personāls (t.sk. sanitāri)</t>
    </r>
    <r>
      <rPr>
        <vertAlign val="superscript"/>
        <sz val="14"/>
        <rFont val="Times New Roman"/>
        <family val="1"/>
      </rPr>
      <t>7</t>
    </r>
  </si>
  <si>
    <r>
      <t xml:space="preserve">Darbinieku </t>
    </r>
    <r>
      <rPr>
        <b/>
        <u/>
        <sz val="14"/>
        <rFont val="Times New Roman"/>
        <family val="1"/>
      </rPr>
      <t xml:space="preserve">vidējie </t>
    </r>
    <r>
      <rPr>
        <b/>
        <sz val="14"/>
        <rFont val="Times New Roman"/>
        <family val="1"/>
      </rPr>
      <t xml:space="preserve">ienākumi mēnesī: </t>
    </r>
  </si>
  <si>
    <r>
      <t>Kopējā slimnīcas telpu platība  (m</t>
    </r>
    <r>
      <rPr>
        <vertAlign val="superscript"/>
        <sz val="14"/>
        <rFont val="Times New Roman"/>
        <family val="1"/>
      </rPr>
      <t>2</t>
    </r>
    <r>
      <rPr>
        <sz val="14"/>
        <rFont val="Times New Roman"/>
        <family val="1"/>
      </rPr>
      <t>), t.sk.:</t>
    </r>
  </si>
  <si>
    <r>
      <t>Ūdens patēriņš  ( m</t>
    </r>
    <r>
      <rPr>
        <vertAlign val="superscript"/>
        <sz val="14"/>
        <rFont val="Times New Roman"/>
        <family val="1"/>
      </rPr>
      <t>3</t>
    </r>
    <r>
      <rPr>
        <sz val="14"/>
        <rFont val="Times New Roman"/>
        <family val="1"/>
      </rPr>
      <t>)</t>
    </r>
  </si>
  <si>
    <r>
      <t>Kanalizācija  (m</t>
    </r>
    <r>
      <rPr>
        <vertAlign val="superscript"/>
        <sz val="14"/>
        <rFont val="Times New Roman"/>
        <family val="1"/>
      </rPr>
      <t>3</t>
    </r>
    <r>
      <rPr>
        <sz val="14"/>
        <rFont val="Times New Roman"/>
        <family val="1"/>
      </rPr>
      <t>)</t>
    </r>
  </si>
  <si>
    <r>
      <t>Stacionāro pakalpojumu sniegšanai izmantotie medikamenti uz gultas dienu</t>
    </r>
    <r>
      <rPr>
        <vertAlign val="superscript"/>
        <sz val="14"/>
        <rFont val="Times New Roman"/>
        <family val="1"/>
      </rPr>
      <t>8</t>
    </r>
  </si>
  <si>
    <r>
      <rPr>
        <vertAlign val="superscript"/>
        <sz val="14"/>
        <rFont val="Times New Roman"/>
        <family val="1"/>
      </rPr>
      <t>1</t>
    </r>
    <r>
      <rPr>
        <sz val="14"/>
        <rFont val="Times New Roman"/>
        <family val="1"/>
      </rPr>
      <t>- ar jēdzienu "vidējais" saprotams rādītāja vērtība katra mēneša pēdējā datumā un summu dalot ar mēnešu skaitu pārskata periodā</t>
    </r>
  </si>
  <si>
    <r>
      <rPr>
        <vertAlign val="superscript"/>
        <sz val="14"/>
        <rFont val="Times New Roman"/>
        <family val="1"/>
      </rPr>
      <t>2</t>
    </r>
    <r>
      <rPr>
        <sz val="14"/>
        <rFont val="Times New Roman"/>
        <family val="1"/>
      </rPr>
      <t>- hospitalizāciju skaits, bez fiktīvās izrakstīšanās (kustība 39) attiecīgā perioda ietvaros</t>
    </r>
  </si>
  <si>
    <r>
      <rPr>
        <vertAlign val="superscript"/>
        <sz val="14"/>
        <rFont val="Times New Roman"/>
        <family val="1"/>
      </rPr>
      <t>3</t>
    </r>
    <r>
      <rPr>
        <sz val="14"/>
        <rFont val="Times New Roman"/>
        <family val="1"/>
      </rPr>
      <t>- sertificēti  ārsti, zobārsti un funkcionālie speciālisti, reģistrēti ārsti, zobārsti un funkcionālie speciālisti, rezidenti</t>
    </r>
  </si>
  <si>
    <r>
      <rPr>
        <vertAlign val="superscript"/>
        <sz val="14"/>
        <rFont val="Times New Roman"/>
        <family val="1"/>
      </rPr>
      <t>4</t>
    </r>
    <r>
      <rPr>
        <sz val="14"/>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</si>
  <si>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4"/>
        <rFont val="Times New Roman"/>
        <family val="1"/>
      </rPr>
      <t>5</t>
    </r>
    <r>
      <rPr>
        <sz val="14"/>
        <rFont val="Times New Roman"/>
        <family val="1"/>
      </rPr>
      <t>- māsu palīgi, zobārsta asistenti</t>
    </r>
  </si>
  <si>
    <r>
      <rPr>
        <vertAlign val="superscript"/>
        <sz val="14"/>
        <rFont val="Times New Roman"/>
        <family val="1"/>
      </rPr>
      <t>6</t>
    </r>
    <r>
      <rPr>
        <sz val="14"/>
        <rFont val="Times New Roman"/>
        <family val="1"/>
      </rPr>
      <t>- valde, padome, valdes/padomes birojs, ārstniecības personām, kuras tiešā veidā nav saistītas ar pacientu ārstēšanu -  klīniku vadītājiem, virsārstiem, profila virsārstiem, vecākajiem ārstiem, galvenajām māsām, ārstiem koordinatoriem u.c</t>
    </r>
  </si>
  <si>
    <r>
      <rPr>
        <vertAlign val="superscript"/>
        <sz val="14"/>
        <rFont val="Times New Roman"/>
        <family val="1"/>
      </rPr>
      <t>7</t>
    </r>
    <r>
      <rPr>
        <sz val="14"/>
        <rFont val="Times New Roman"/>
        <family val="1"/>
      </rPr>
      <t>- Saimnieciskais personāls, ārstniecības un aprūpes procesu atbalsta personāls (t.sk. sanitāri)</t>
    </r>
  </si>
  <si>
    <r>
      <rPr>
        <vertAlign val="superscript"/>
        <sz val="14"/>
        <rFont val="Times New Roman"/>
        <family val="1"/>
      </rPr>
      <t>8</t>
    </r>
    <r>
      <rPr>
        <sz val="14"/>
        <rFont val="Times New Roman"/>
        <family val="1"/>
      </rPr>
      <t>- Medikamenti, medicīnas preces, implanti, sterilizācijas materiāli, medicīnas instrumenti, laboratorijas preces stacionāro pakalpojumu nodrošināšanai (bez bezmaksas medikamnetiem un med. Precēm)/ Stacionāra gultu dienu skaits</t>
    </r>
  </si>
  <si>
    <t>Kopējais stacionēto pacientu īpatsvars  no kopējā gadījumu skaita uzņemšanas nodaļā, % (23212/23110)</t>
  </si>
  <si>
    <r>
      <t>Valsts apmaksāto hospitalizācijas</t>
    </r>
    <r>
      <rPr>
        <i/>
        <vertAlign val="superscript"/>
        <sz val="14"/>
        <rFont val="Times New Roman"/>
        <family val="1"/>
      </rPr>
      <t>2</t>
    </r>
    <r>
      <rPr>
        <i/>
        <sz val="14"/>
        <rFont val="Times New Roman"/>
        <family val="1"/>
      </rPr>
      <t xml:space="preserve"> gadījumu skaits</t>
    </r>
  </si>
  <si>
    <r>
      <t>Valsts apmaksāto plānveida hospitalizācijas</t>
    </r>
    <r>
      <rPr>
        <i/>
        <vertAlign val="superscript"/>
        <sz val="14"/>
        <rFont val="Times New Roman"/>
        <family val="1"/>
      </rPr>
      <t>2</t>
    </r>
    <r>
      <rPr>
        <i/>
        <sz val="14"/>
        <rFont val="Times New Roman"/>
        <family val="1"/>
      </rPr>
      <t xml:space="preserve"> gadījumu skaits</t>
    </r>
  </si>
  <si>
    <r>
      <t>Valsts apmaksāto neatliekamo hospitalizācijas</t>
    </r>
    <r>
      <rPr>
        <i/>
        <vertAlign val="superscript"/>
        <sz val="14"/>
        <rFont val="Times New Roman"/>
        <family val="1"/>
      </rPr>
      <t>2</t>
    </r>
    <r>
      <rPr>
        <i/>
        <sz val="14"/>
        <rFont val="Times New Roman"/>
        <family val="1"/>
      </rPr>
      <t xml:space="preserve"> gadījumu skaits</t>
    </r>
  </si>
  <si>
    <t>Vidējais gultu noslogojums diennakts stacionārā, %</t>
  </si>
  <si>
    <t>Vidējais gultu noslogojums dienas stacionārā, %</t>
  </si>
  <si>
    <t>16 Izdevumi kapitālajiem ieguldījumiem nomātajos pamatlīdzekļos</t>
  </si>
  <si>
    <t>2 Attīstības pasākumu un programmu izmaksas un izdevumus, ja zināms, ka projektu pabeigs un no projekta rezultātiem budžeta iestāde turpmāk gūs labumu. Attīstības pasākumi un programmas ir pētniecības, atklājumu vai citu zināšanu izmantošana jaunu (vai būtiski uzlabotu) materiālu, ierīču, produktu, procesu, sistēmu vai pakalpojumu ražošanas plānā vai izstrādē pirms komerciālas ražošanas vai izmantošanas uzsākšanas. Šo kodu piemēro arī tehniskajām izstrādēm, kas sagatavo pētniecības rezultātu līdz izmēģinājuma paraugam</t>
  </si>
  <si>
    <t>3 Izdevumi datorprogrammām un to licencēm</t>
  </si>
  <si>
    <t>4 Izdevumi pārējiem iepriekš neklasificētiem nemateriāliem aktīviem</t>
  </si>
  <si>
    <t>5 Izdevumi nedzīvojamām ēkām, kuras izmanto pašu vajadzībām, kā arī izīrējamām un iznomājamām nedzīvojamām ēkām. Nedzīvojamās ēkas ir ēkas, kuras netiek izmantotas vai nav paredzētas dzīvošanai, ieskaitot aprīkojumu, ierīces un iekārtas, kas ir ēku neatņemama sastāvdaļa.</t>
  </si>
  <si>
    <t>6 Izdevumi zemes iegādei, uz kuras uzbūvētas ēkas vai to pamati. Piemēro arī pagalmu, dārzu teritoriju un to iebrauktuvju (ko uzskata par mājas neatdalāmu sastāvdaļu) iegādes izmaksām.</t>
  </si>
  <si>
    <t>7 Izdevumi pārējās iepriekš neklasificētās zemes (karjeri, kapu teritorijas, meža zemes) iegādei</t>
  </si>
  <si>
    <t>8 Izdevumi celtnēm, būvēm, izbūvēm, ieskaitot aprīkojumu, ierīces un iekārtas, kas ir celtņu un būvju neatņemama sastāvdaļa (ūdens uzkrāšanas būves, meliorācijas sistēmas, sakaru un elektropārvades līnijas, cauruļvadus, ūdensvadu, siltumtrašu, kanalizācijas tīklus, sporta, atpūtas būves un citas būves un celtnes).</t>
  </si>
  <si>
    <t>9 Izdevumi pārējā iepriekš neklasificētā nekustamā īpašuma iegādei</t>
  </si>
  <si>
    <t>10 Izdevumi nepabeigtajai būvniecībai līdz objekta nodošanai ekspluatācijā</t>
  </si>
  <si>
    <t>11 Izdevumi iekārtām un mašīnām, ko izmanto budžeta iestādes pašas vajadzībām tās funkciju vai pakalpojumu izpildes nodrošināšanai (iekārtas, mēraparatūra, regulēšanas ierīces, laboratoriju un medicīnas iekārtas)</t>
  </si>
  <si>
    <t>12 Izdevumi tādiem pamatlīdzekļiem kā automobiļi, motocikli, velosipēdi, piekabes, puspiekabes, dzelzceļa lokomotīves un citi transportlīdzekļi</t>
  </si>
  <si>
    <t>13 Izdevumi tādiem pamatlīdzekļiem kā kancelejas mēbeles, ledusskapji, televizori, mikroviļņu krāsnis, lustras un pārējā telpu iekārta. Kodā uzskaita tos pamatlīdzekļus, kurus izmanto iestādes saimnieciskās darbības nodrošināšanai</t>
  </si>
  <si>
    <t>14 Izdevumiem tādiem ilgtermiņa aktīviem kā datori, serveri, kopētāji, faksa aparāti, telefoni, telefonu centrāles un cita biroja tehnika</t>
  </si>
  <si>
    <t>15 Izdvumi citu iepriekš neklasificētu pamatlīdzekļu iegādei un izdevumu atzīšanā</t>
  </si>
  <si>
    <r>
      <t xml:space="preserve">Attīstības pasākumi un programmas </t>
    </r>
    <r>
      <rPr>
        <vertAlign val="superscript"/>
        <sz val="14"/>
        <rFont val="Times New Roman"/>
        <family val="1"/>
      </rPr>
      <t xml:space="preserve">2 </t>
    </r>
    <r>
      <rPr>
        <sz val="14"/>
        <rFont val="Times New Roman"/>
        <family val="1"/>
      </rPr>
      <t xml:space="preserve"> t.sk.:</t>
    </r>
  </si>
  <si>
    <r>
      <t xml:space="preserve">Datorprogrammas </t>
    </r>
    <r>
      <rPr>
        <vertAlign val="superscript"/>
        <sz val="14"/>
        <rFont val="Times New Roman"/>
        <family val="1"/>
      </rPr>
      <t xml:space="preserve">3 </t>
    </r>
    <r>
      <rPr>
        <sz val="14"/>
        <rFont val="Times New Roman"/>
        <family val="1"/>
      </rPr>
      <t xml:space="preserve"> t.sk.:</t>
    </r>
  </si>
  <si>
    <r>
      <t xml:space="preserve">Pārējie nemateriālie ieguldījumi </t>
    </r>
    <r>
      <rPr>
        <vertAlign val="superscript"/>
        <sz val="14"/>
        <rFont val="Times New Roman"/>
        <family val="1"/>
      </rPr>
      <t>4</t>
    </r>
    <r>
      <rPr>
        <sz val="14"/>
        <rFont val="Times New Roman"/>
        <family val="1"/>
      </rPr>
      <t xml:space="preserve">  t.sk.:</t>
    </r>
  </si>
  <si>
    <r>
      <t xml:space="preserve">Nedzīvojamās ēkas </t>
    </r>
    <r>
      <rPr>
        <vertAlign val="superscript"/>
        <sz val="14"/>
        <rFont val="Times New Roman"/>
        <family val="1"/>
      </rPr>
      <t>5</t>
    </r>
  </si>
  <si>
    <r>
      <t xml:space="preserve">Zeme zem ēkām un būvēm </t>
    </r>
    <r>
      <rPr>
        <vertAlign val="superscript"/>
        <sz val="14"/>
        <rFont val="Times New Roman"/>
        <family val="1"/>
      </rPr>
      <t>6</t>
    </r>
  </si>
  <si>
    <r>
      <t xml:space="preserve">Pārējā zeme </t>
    </r>
    <r>
      <rPr>
        <vertAlign val="superscript"/>
        <sz val="14"/>
        <rFont val="Times New Roman"/>
        <family val="1"/>
      </rPr>
      <t>7</t>
    </r>
  </si>
  <si>
    <r>
      <t xml:space="preserve">Celtnes un būves </t>
    </r>
    <r>
      <rPr>
        <vertAlign val="superscript"/>
        <sz val="14"/>
        <rFont val="Times New Roman"/>
        <family val="1"/>
      </rPr>
      <t>8</t>
    </r>
  </si>
  <si>
    <r>
      <t xml:space="preserve">Pārējais nekustamais īpašums </t>
    </r>
    <r>
      <rPr>
        <vertAlign val="superscript"/>
        <sz val="14"/>
        <rFont val="Times New Roman"/>
        <family val="1"/>
      </rPr>
      <t>9</t>
    </r>
  </si>
  <si>
    <r>
      <t xml:space="preserve">Nepabeigtā būvniecība </t>
    </r>
    <r>
      <rPr>
        <vertAlign val="superscript"/>
        <sz val="14"/>
        <rFont val="Times New Roman"/>
        <family val="1"/>
      </rPr>
      <t>10</t>
    </r>
  </si>
  <si>
    <r>
      <t xml:space="preserve">Tehnoloģiskās iekārtas un mašīnas </t>
    </r>
    <r>
      <rPr>
        <vertAlign val="superscript"/>
        <sz val="14"/>
        <rFont val="Times New Roman"/>
        <family val="1"/>
      </rPr>
      <t xml:space="preserve">11 </t>
    </r>
    <r>
      <rPr>
        <sz val="14"/>
        <rFont val="Times New Roman"/>
        <family val="1"/>
      </rPr>
      <t xml:space="preserve"> t.sk.:</t>
    </r>
  </si>
  <si>
    <r>
      <t xml:space="preserve">Transportlīdzekļi </t>
    </r>
    <r>
      <rPr>
        <vertAlign val="superscript"/>
        <sz val="14"/>
        <rFont val="Times New Roman"/>
        <family val="1"/>
      </rPr>
      <t xml:space="preserve">12 </t>
    </r>
    <r>
      <rPr>
        <sz val="14"/>
        <rFont val="Times New Roman"/>
        <family val="1"/>
      </rPr>
      <t xml:space="preserve"> t.sk.:</t>
    </r>
  </si>
  <si>
    <r>
      <t xml:space="preserve">Saimniecības pamatlīdzekļi </t>
    </r>
    <r>
      <rPr>
        <vertAlign val="superscript"/>
        <sz val="14"/>
        <rFont val="Times New Roman"/>
        <family val="1"/>
      </rPr>
      <t>13</t>
    </r>
    <r>
      <rPr>
        <sz val="14"/>
        <rFont val="Times New Roman"/>
        <family val="1"/>
      </rPr>
      <t xml:space="preserve">  t.sk.:</t>
    </r>
  </si>
  <si>
    <r>
      <t xml:space="preserve">Datortehnika, sakaru un cita biroja tehnika </t>
    </r>
    <r>
      <rPr>
        <vertAlign val="superscript"/>
        <sz val="14"/>
        <rFont val="Times New Roman"/>
        <family val="1"/>
      </rPr>
      <t>14</t>
    </r>
    <r>
      <rPr>
        <sz val="14"/>
        <rFont val="Times New Roman"/>
        <family val="1"/>
      </rPr>
      <t xml:space="preserve"> t.sk.:</t>
    </r>
  </si>
  <si>
    <r>
      <t xml:space="preserve">Pārējie iepriekš neklasificētie pamatlīdzekļi </t>
    </r>
    <r>
      <rPr>
        <vertAlign val="superscript"/>
        <sz val="14"/>
        <rFont val="Times New Roman"/>
        <family val="1"/>
      </rPr>
      <t xml:space="preserve">15 </t>
    </r>
    <r>
      <rPr>
        <sz val="14"/>
        <rFont val="Times New Roman"/>
        <family val="1"/>
      </rPr>
      <t xml:space="preserve"> t.sk.:</t>
    </r>
  </si>
  <si>
    <r>
      <t xml:space="preserve">Ilgtermiņa ieguldījumi nomātajos pamatlīdzekļos </t>
    </r>
    <r>
      <rPr>
        <vertAlign val="superscript"/>
        <sz val="14"/>
        <rFont val="Times New Roman"/>
        <family val="1"/>
      </rPr>
      <t>16</t>
    </r>
    <r>
      <rPr>
        <sz val="14"/>
        <rFont val="Times New Roman"/>
        <family val="1"/>
      </rPr>
      <t xml:space="preserve"> t.sk.:</t>
    </r>
  </si>
  <si>
    <r>
      <t xml:space="preserve">Ieguldījumu pozīcija </t>
    </r>
    <r>
      <rPr>
        <vertAlign val="superscript"/>
        <sz val="14"/>
        <rFont val="Times New Roman"/>
        <family val="1"/>
      </rPr>
      <t>1</t>
    </r>
  </si>
  <si>
    <t>no ESF (Eiropas Struktūrfondi) līdzekļiem (sadalījumā pa projektiem), t.sk.</t>
  </si>
  <si>
    <t>no VGA (Valsts galvotais aizdevums) līdzekļiem (sadalījumā pa projektiem), t.sk.</t>
  </si>
  <si>
    <t>no Valsts budžeta līdzekļiem (sadalījumā pa pasākumiem/projektiem), t.sk.</t>
  </si>
  <si>
    <t>no pašu līdzekļiem (sadalījumā pa pasākumiem/projektiem), t.sk.</t>
  </si>
  <si>
    <t>no citiem līdzekļiem (sadalījumā pa pasākumiem/projektiem), t.sk.</t>
  </si>
  <si>
    <t>no ESF (Eiropas Struktūrfondi) līdzekļiem  (sadalījumā pa projektiem), t.sk.</t>
  </si>
  <si>
    <r>
      <t xml:space="preserve">Dotācija no pašvaldības budžeta kopā </t>
    </r>
    <r>
      <rPr>
        <i/>
        <sz val="14"/>
        <rFont val="Times New Roman"/>
        <family val="1"/>
      </rPr>
      <t>(sadalījumā pa projektiem un/vai finansējuma mērķiem), t.sk.</t>
    </r>
  </si>
  <si>
    <r>
      <t xml:space="preserve">Valsts budžeta līdzekļi kopā </t>
    </r>
    <r>
      <rPr>
        <i/>
        <sz val="14"/>
        <rFont val="Times New Roman"/>
        <family val="1"/>
      </rPr>
      <t>(sadalījumā pa projektiem un/vai finansējuma mērķiem), t.sk.</t>
    </r>
  </si>
  <si>
    <r>
      <t xml:space="preserve">Citi līdzekļi kopā </t>
    </r>
    <r>
      <rPr>
        <i/>
        <sz val="14"/>
        <rFont val="Times New Roman"/>
        <family val="1"/>
      </rPr>
      <t>(sadalījumā pa projektiem un/vai finansējuma mērķiem), t.sk.</t>
    </r>
  </si>
  <si>
    <r>
      <t xml:space="preserve">Ziedojumi </t>
    </r>
    <r>
      <rPr>
        <i/>
        <sz val="14"/>
        <rFont val="Times New Roman"/>
        <family val="1"/>
      </rPr>
      <t>(sadalījumā pa projektiem un/vai finansējuma mērķiem), t.sk.</t>
    </r>
  </si>
  <si>
    <r>
      <t xml:space="preserve">Pamatlīdzekļu un nemateriālo ieguldījumu iegāde kopā </t>
    </r>
    <r>
      <rPr>
        <b/>
        <vertAlign val="superscript"/>
        <sz val="14"/>
        <rFont val="Times New Roman"/>
        <family val="1"/>
      </rPr>
      <t>1</t>
    </r>
  </si>
  <si>
    <t>1 Aizpildot naudas plūsmas plānu pamatlīdzekļiem un nemateriāliem ieguldījumiem līdzīgie pamatlīdzekļi  pēc nomenklatūras  jāapvieno grupās, norādot iepērkamo pamatlīdzekļu daudzumu</t>
  </si>
  <si>
    <t>1 Aizpildot ieguldījumu tāmi līdzīgie pēc nomenklatūras pamatlīdzekļi un nemateriālie ieguldījumi jāapvieno grupās, norādot iepērkamo pamatlīdzekļu daudzumu</t>
  </si>
  <si>
    <r>
      <t>Atkārtoti hospitalizēto pacientu skaits, neieskaitot pacientus, kuriem nākamā hospitalizācija ir aprūpe vai rehabilitācija</t>
    </r>
    <r>
      <rPr>
        <vertAlign val="superscript"/>
        <sz val="14"/>
        <rFont val="Times New Roman"/>
        <family val="1"/>
      </rPr>
      <t>9</t>
    </r>
  </si>
  <si>
    <r>
      <t>Atkārtoti hospitalizēto pacientu skaits, kuriem nākamā hospitalizācija ir aprūpe,  rehabilitācija vai nākamais ārstēšanas posms</t>
    </r>
    <r>
      <rPr>
        <vertAlign val="superscript"/>
        <sz val="14"/>
        <rFont val="Times New Roman"/>
        <family val="1"/>
      </rPr>
      <t>10</t>
    </r>
  </si>
  <si>
    <r>
      <t>Ambultatori izdarīto operāciju skaits</t>
    </r>
    <r>
      <rPr>
        <vertAlign val="superscript"/>
        <sz val="14"/>
        <rFont val="Times New Roman"/>
        <family val="1"/>
      </rPr>
      <t>11</t>
    </r>
    <r>
      <rPr>
        <sz val="14"/>
        <rFont val="Times New Roman"/>
        <family val="1"/>
      </rPr>
      <t>, t.sk.:</t>
    </r>
  </si>
  <si>
    <t>Ārstniecības personu īpatsvars, kas veic virsstundu darbu, no kopējā ārtsniecības personu skaita, %</t>
  </si>
  <si>
    <r>
      <rPr>
        <vertAlign val="superscript"/>
        <sz val="14"/>
        <rFont val="Times New Roman"/>
        <family val="1"/>
      </rPr>
      <t xml:space="preserve">9 </t>
    </r>
    <r>
      <rPr>
        <sz val="14"/>
        <rFont val="Times New Roman"/>
        <family val="1"/>
      </rPr>
      <t>- 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</si>
  <si>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4"/>
        <rFont val="Times New Roman"/>
        <family val="1"/>
      </rPr>
      <t>10</t>
    </r>
    <r>
      <rPr>
        <sz val="11"/>
        <color theme="1"/>
        <rFont val="Calibri"/>
        <family val="2"/>
        <charset val="186"/>
        <scheme val="minor"/>
      </rPr>
      <t xml:space="preserve"> </t>
    </r>
    <r>
      <rPr>
        <sz val="14"/>
        <rFont val="Times New Roman"/>
        <family val="1"/>
      </rPr>
      <t>- rehospitalizāciju skaitā ieskaita pacientus, kas atkārtoti hospitalizēti tajā pašā vai nākamajā dienā, kuru nākamā hospitalizācija ir aprūpe vai rehabilitācija (atbilstoši NVD mājas lapā publicētā</t>
    </r>
  </si>
  <si>
    <t>"Pārskats par uz mājām izrakstītiem pacientiem, kas atkārtoti hospitalizēti tajā pašā vai nākamajā dienā" izslēgšanas kritērijos GPF kodam</t>
  </si>
  <si>
    <r>
      <rPr>
        <vertAlign val="superscript"/>
        <sz val="14"/>
        <rFont val="Times New Roman"/>
        <family val="1"/>
      </rPr>
      <t>11</t>
    </r>
    <r>
      <rPr>
        <sz val="14"/>
        <rFont val="Times New Roman"/>
        <family val="1"/>
      </rPr>
      <t>- atbilstoši NVD mājas lapā publocētajam "Valsts apmaksājamo manipulāciju un to apmaksas nosacījumu saraksts" Lielo ķirurģisko operāciju klasifikatoram (10.kolonna)</t>
    </r>
  </si>
  <si>
    <t xml:space="preserve">* "PZ_Aprēķins" un "Bilance" tiek sagatavots atbilstoši Kapitālsabiedrības valdes apstiprinātajai grāmatvedības politikai un standartiem. "PZ_Aprēķins", "Bilance" un "Naudas_plūsma" datiem jābūt loģiski savstarpēji saistītiem. </t>
  </si>
  <si>
    <t>* budžeta kodu klasifikācija sadaļā II " IZDEVUMI SAIMNIECISKĀS DARBĪBAS NODROŠINĀŠANAI KOPĀ" atbilst Ministru Kabineta noteikumiem 1031 Noteikumi par budžetu izdevumu klasifikāciju atbilstoši ekonomiskajām kategorijām" un jāpiemēro šo MK noteikumu skaidrojumi atbilstošiem EKK</t>
  </si>
  <si>
    <t>27200</t>
  </si>
  <si>
    <t>27110</t>
  </si>
  <si>
    <t>27300</t>
  </si>
  <si>
    <t>Veselības aprūpes pakalpojumu tarifu palielināšanās.</t>
  </si>
  <si>
    <t>Rezidentu darba samaksas finansējuma palielinājums.</t>
  </si>
  <si>
    <t>Instrumentu piegāde spinālajām operācijām</t>
  </si>
  <si>
    <t>2020.gada
 plāns</t>
  </si>
  <si>
    <t>2020.gada izpilde</t>
  </si>
  <si>
    <t>2021.gada
 3 mēn. plāns</t>
  </si>
  <si>
    <t>2021.gada
 6 mēn. plāns</t>
  </si>
  <si>
    <t>2021.gada
 9 mēn. plāns</t>
  </si>
  <si>
    <t>2021.gada
 12 mēn. plāns</t>
  </si>
  <si>
    <t>Izmaiņas, salīdzinot ar 2020.gada izpildi, euro</t>
  </si>
  <si>
    <t>Izmaiņas, salīdzinot ar  2020.gada izpildi, %</t>
  </si>
  <si>
    <t>2020.gada
  plāns</t>
  </si>
  <si>
    <t>Baktericīda lampa</t>
  </si>
  <si>
    <t>Rotācijas mikrotoms</t>
  </si>
  <si>
    <t>Biroja plauktu sistēma arhīva dokumentu uzglabāšanai</t>
  </si>
  <si>
    <t>Pacientu pozicionēšanas vakuuma matracis operāciju zālē</t>
  </si>
  <si>
    <t>Profesionālā veļas mazgāšanas iekārta</t>
  </si>
  <si>
    <t>Baktericīds caurplūdes gaisa recirkulators</t>
  </si>
  <si>
    <t>Rokas dinamometrs</t>
  </si>
  <si>
    <t>8 personāla gultas Traumpunktā</t>
  </si>
  <si>
    <t>1.medicīniskā kušete Traumpunktā</t>
  </si>
  <si>
    <t>1.monitors Traumpunkta pārsienamajā telpā</t>
  </si>
  <si>
    <t>Veļas plaukts Traumpunktā</t>
  </si>
  <si>
    <t>Izlietne Traumpunktā</t>
  </si>
  <si>
    <t>Pretizgulējuma matrači 3 gab.</t>
  </si>
  <si>
    <t>Pacientu mazgāšanas rati</t>
  </si>
  <si>
    <t>Pārsienamie rati 2 gab.</t>
  </si>
  <si>
    <t>Automātisko pneimatisko žņaugu komplekti ar grozu un manžetēm</t>
  </si>
  <si>
    <t>Ķirurģiskais sūknis</t>
  </si>
  <si>
    <t>Micro koagulācija</t>
  </si>
  <si>
    <t>Metāla ģērbtuves skapīši</t>
  </si>
  <si>
    <t xml:space="preserve">Mēbeles </t>
  </si>
  <si>
    <t>Dokumentu smalcinātājs Mikrobioloģijas un patohistoloģijas nodaļai</t>
  </si>
  <si>
    <t>Baktericīdā lampa</t>
  </si>
  <si>
    <t>Mikroskops</t>
  </si>
  <si>
    <t>Vortekss</t>
  </si>
  <si>
    <t>Ūdens vanna-termostats</t>
  </si>
  <si>
    <t>Dokumentu skapis/plauktu sistēma</t>
  </si>
  <si>
    <t>Kārbas sonikācijai</t>
  </si>
  <si>
    <t>RTG aizsargtērpi</t>
  </si>
  <si>
    <t>Operāciju galda piegāde 5.operāciju blokam</t>
  </si>
  <si>
    <t>Gaisa dezinfekcijas un attīrīšanas iekārtu, medicīnas ledusskapju piegāde</t>
  </si>
  <si>
    <t>Metāla medicīnisko mēbeļu piegāde operāciju blokiem</t>
  </si>
  <si>
    <t>Pacientu vitālo funkciju novērošanas monitoru un centrālās novērošanas stacijas piegāde</t>
  </si>
  <si>
    <t>Universālo akumulatora tipa spēka instrumentu komplektu ar savienojumiem piegāde</t>
  </si>
  <si>
    <t>Pacientu gultu piegāde intensīvās terapijas nodaļas vajadzībām</t>
  </si>
  <si>
    <t>Operāciju galdu aprīkojuma un pufu piegāde</t>
  </si>
  <si>
    <t>Medicīniskās saldētavas piegāde</t>
  </si>
  <si>
    <t>Nespecifisko instrumentu komplektu piegāde</t>
  </si>
  <si>
    <t>Anestēzijas mašīnu piegāde</t>
  </si>
  <si>
    <t>Apavu mazgājamās mašīnas iegāde</t>
  </si>
  <si>
    <t>Videolaringoskopa piegāde</t>
  </si>
  <si>
    <t>Spēka un pneimatisko instrumentu komplektācijas daļu piegāde</t>
  </si>
  <si>
    <t>Specifisko instrumentu piegāde osteosintēžu operācijām</t>
  </si>
  <si>
    <t>Biroja mēbeļu iegāde</t>
  </si>
  <si>
    <t>Būvuzraudzības pakalpojumi</t>
  </si>
  <si>
    <t>Arhīva telpu remontdarbi, jumta seguma atjaunošana</t>
  </si>
  <si>
    <t>EKG aparāti ( planšetes)</t>
  </si>
  <si>
    <t>Desktop datori</t>
  </si>
  <si>
    <t>Datori (silent)</t>
  </si>
  <si>
    <t>Datortehnika CSN un ĶON</t>
  </si>
  <si>
    <t>Monitori</t>
  </si>
  <si>
    <t>2020.gada plāns</t>
  </si>
  <si>
    <t>2020.gada
 izpilde</t>
  </si>
  <si>
    <t>2021.gada
12 mēn. plāns</t>
  </si>
  <si>
    <t>2020.gada
izpilde</t>
  </si>
  <si>
    <t>Plānots elektroenerģijas palielinājums, saskaņā ar Iepirkuma plānā paredzētajiem remontdarbiem</t>
  </si>
  <si>
    <t>Plānots centrālapkures patēriņa palielinājums-pamatojums 2020/2021 gada ziema</t>
  </si>
  <si>
    <t>2021. gadā netiek plānoti ieņēmumi no Pētījumu projektiem.</t>
  </si>
  <si>
    <t>2021. gadā ziemas sezona auksta, paredzēts pieaugums siltumenerģijas patēriņam.</t>
  </si>
  <si>
    <t xml:space="preserve">Informāciju un tehnoloģiju nodaļai aparatūras remontiem, sakaru sistēmu uzlabošanai plānots pieaugums 44000 eiro. </t>
  </si>
  <si>
    <t>2021.gadā plānojam pieaugumu neizmanotām atvaļinājuma rezervēm - no 01.01.2021.darba algu pieaugums.</t>
  </si>
  <si>
    <t>Plātots maksas pakalpojumu apjoma palielinājums</t>
  </si>
  <si>
    <t>norādīta līgumā ar NVD plānotā summa</t>
  </si>
  <si>
    <t>Plānots bezmaksas saņemto asins komponentu palielinājums (atkarīgs no pacientu sarežģitības pakāpes)</t>
  </si>
  <si>
    <t>2021.gadā plānots palielinājums transporta ārpakalpojumiems - papildus pacientu transportēšanai (Covid 19 ietvaros)</t>
  </si>
  <si>
    <t>2021.gadā citām neplānotām saimniecības vajadzībām plānojam pieaugumu ar rezervi</t>
  </si>
  <si>
    <t>2021.gadā plānots virtuves telpas kosmētiskais remonts 3.nodaļai, mikrobioloģijas nodaļai, arhīva telpām, kāpņu krāsojuma atjaunošanai, aptiekas noliktavas telpās.</t>
  </si>
  <si>
    <t>2021.gadā plānots iekārtu, inventāra uzturēšanai, apkopei palielinājums, salīdzinoši ar 2020.gada izpildi. Papildus  Anestēzijas darba staciju un mākslīgo plaušu ventilācijas iekārtu apkopei - 18750 eiro, specifisko instrumentu remontiem - 3000 eiro, jonizējošo starojumu avotu apkopei un rezerves daļām - 4100 eiro. Summa palielinājumam plānota ar rezevi.</t>
  </si>
  <si>
    <t>Atsevišķi remontdarbi 2020.gadā, neparedzētu iemeslu dēļ, netika veikti, tāpēc plānojam šajā pozīcijā lielāku summu.</t>
  </si>
  <si>
    <t>2021. gadā plānoti mazāki izdevumi inventāra iegādei.</t>
  </si>
  <si>
    <t>2021. gadā plānojam perasonāla un pacientu apģērbu iegādei lielākus izdevumus.</t>
  </si>
  <si>
    <t>2021.gadā plānojam pieaugumu inventārā - biroja krēsli, apmeklētāju krēsli - 8900 eiro, medicīnas krēsli, pacientu taburetes, salokāmie barošanas galdiņi - 3000 eiro, žalūzijas, mušu sieti - 6000 eiro, trauki pacientu ēdināšanai - 6000 eiro, aparatūras un palīglīdzekļu iegādei rehabilitācijas nodaļai - 45000 eiro, palātu aprīkojumam - 60000 eiro, telefoni, klausules .</t>
  </si>
  <si>
    <t>2021. gadā plānots 5.operācijas bloka apjomīgs remonts, tāpēc paredzēts pieaugums elektroenerģijas patēriņām.</t>
  </si>
  <si>
    <t>Palielināta pamatalga par 25%</t>
  </si>
  <si>
    <t>Palielināta pamatalga par 15%</t>
  </si>
  <si>
    <t xml:space="preserve">Plānots algas palielinājums </t>
  </si>
  <si>
    <t>Plānots algas palielinājums līdz 25%</t>
  </si>
  <si>
    <t>Plānots algas palielinājums līdz 25%. Ņemot vērā Covid 19  riksu, salīdzinot ar 2020.gadu palielājies nostrādāto virsstundu skaits, lai nodrošinātu slimnīcas darbību, kamēr citi darbinieki atrodas prombūtnē.</t>
  </si>
  <si>
    <t>Plānots algas palielinājums īdz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</si>
</sst>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s>
  <fonts count="58"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color indexed="9"/>
      <name val="Times New Roman"/>
      <family val="1"/>
    </font>
    <font>
      <b/>
      <u/>
      <sz val="14"/>
      <name val="Times New Roman"/>
      <family val="1"/>
    </font>
    <font>
      <b/>
      <sz val="14"/>
      <name val="Times New Roman"/>
      <family val="1"/>
      <charset val="186"/>
    </font>
    <font>
      <sz val="14"/>
      <name val="Times New Roman"/>
      <family val="1"/>
      <charset val="186"/>
    </font>
    <font>
      <b/>
      <sz val="14"/>
      <color theme="1"/>
      <name val="Times New Roman"/>
      <family val="1"/>
    </font>
    <font>
      <vertAlign val="superscript"/>
      <sz val="14"/>
      <name val="Times New Roman"/>
      <family val="1"/>
    </font>
    <font>
      <b/>
      <vertAlign val="superscript"/>
      <sz val="14"/>
      <name val="Times New Roman"/>
      <family val="1"/>
    </font>
    <font>
      <i/>
      <vertAlign val="superscript"/>
      <sz val="14"/>
      <name val="Times New Roman"/>
      <family val="1"/>
    </font>
    <font>
      <b/>
      <sz val="14"/>
      <color rgb="FF414142"/>
      <name val="Times New Roman"/>
      <family val="1"/>
    </font>
    <font>
      <b/>
      <i/>
      <sz val="14"/>
      <color rgb="FFFF0000"/>
      <name val="Times New Roman"/>
      <family val="1"/>
      <charset val="186"/>
    </font>
    <font>
      <i/>
      <sz val="14"/>
      <name val="Times New Roman"/>
      <family val="1"/>
      <charset val="186"/>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1534">
    <xf numFmtId="0" fontId="0" fillId="0" borderId="0"/>
    <xf numFmtId="0" fontId="9" fillId="0" borderId="0"/>
    <xf numFmtId="0" fontId="9" fillId="0" borderId="0"/>
    <xf numFmtId="0" fontId="8" fillId="0" borderId="0"/>
    <xf numFmtId="0" fontId="7" fillId="0" borderId="0"/>
    <xf numFmtId="0" fontId="9" fillId="0" borderId="0"/>
    <xf numFmtId="0" fontId="9" fillId="0" borderId="0"/>
    <xf numFmtId="0" fontId="6" fillId="0" borderId="0"/>
    <xf numFmtId="0" fontId="5" fillId="0" borderId="0"/>
    <xf numFmtId="43"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30" fillId="0" borderId="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1"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1"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1"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2"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6" fillId="17" borderId="17"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0" fontId="17" fillId="31" borderId="18" applyNumberFormat="0" applyAlignment="0" applyProtection="0"/>
    <xf numFmtId="41" fontId="9" fillId="0" borderId="0" applyFont="0" applyFill="0" applyBorder="0" applyAlignment="0" applyProtection="0"/>
    <xf numFmtId="165" fontId="13"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20" fillId="0" borderId="19"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1" fillId="0" borderId="20"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21" fillId="0" borderId="21"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2" fillId="0" borderId="22"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22" fillId="0" borderId="23"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1" borderId="17" applyNumberFormat="0" applyAlignment="0" applyProtection="0"/>
    <xf numFmtId="0" fontId="23" fillId="11"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3" fillId="17" borderId="17" applyNumberFormat="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4" fillId="0" borderId="25" applyNumberFormat="0" applyFill="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13"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2" fillId="0" borderId="0"/>
    <xf numFmtId="0" fontId="4" fillId="0" borderId="0"/>
    <xf numFmtId="0" fontId="13" fillId="0" borderId="0"/>
    <xf numFmtId="0" fontId="13" fillId="0" borderId="0"/>
    <xf numFmtId="0" fontId="13" fillId="0" borderId="0"/>
    <xf numFmtId="0" fontId="4" fillId="0" borderId="0"/>
    <xf numFmtId="0" fontId="13" fillId="0" borderId="0"/>
    <xf numFmtId="0" fontId="13" fillId="0" borderId="0"/>
    <xf numFmtId="0" fontId="13"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5" fillId="0" borderId="0"/>
    <xf numFmtId="0" fontId="13" fillId="0" borderId="0"/>
    <xf numFmtId="0" fontId="13" fillId="0" borderId="0"/>
    <xf numFmtId="0" fontId="9" fillId="0" borderId="0"/>
    <xf numFmtId="0" fontId="36" fillId="0" borderId="0" applyNumberFormat="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9" fillId="0" borderId="0"/>
    <xf numFmtId="0" fontId="9" fillId="0" borderId="0"/>
    <xf numFmtId="0" fontId="4" fillId="0" borderId="0"/>
    <xf numFmtId="0" fontId="4"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4"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0" fontId="9" fillId="0" borderId="0"/>
    <xf numFmtId="0" fontId="38" fillId="0" borderId="0" applyFont="0" applyFill="0" applyAlignment="0" applyProtection="0"/>
    <xf numFmtId="0" fontId="38" fillId="0" borderId="0" applyFont="0" applyFill="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36" fillId="15" borderId="26" applyNumberFormat="0" applyFont="0" applyAlignment="0" applyProtection="0"/>
    <xf numFmtId="0" fontId="3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9" fillId="15" borderId="26" applyNumberFormat="0" applyFon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0" fontId="26" fillId="17" borderId="27"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7"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8"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8" fillId="0" borderId="2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10" fillId="0" borderId="0"/>
    <xf numFmtId="0" fontId="9" fillId="0" borderId="0"/>
    <xf numFmtId="0" fontId="3" fillId="0" borderId="0"/>
    <xf numFmtId="0" fontId="3" fillId="0" borderId="0"/>
    <xf numFmtId="0" fontId="3" fillId="0" borderId="0"/>
    <xf numFmtId="0" fontId="3" fillId="0" borderId="0"/>
    <xf numFmtId="43"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9"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2" fillId="0" borderId="0"/>
    <xf numFmtId="0" fontId="2" fillId="0" borderId="0"/>
    <xf numFmtId="43"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426">
    <xf numFmtId="0" fontId="0" fillId="0" borderId="0" xfId="0"/>
    <xf numFmtId="3" fontId="43" fillId="0" borderId="1" xfId="0" applyNumberFormat="1" applyFont="1" applyFill="1" applyBorder="1" applyAlignment="1" applyProtection="1">
      <alignment horizontal="center" vertical="center" wrapText="1"/>
    </xf>
    <xf numFmtId="3" fontId="44" fillId="2" borderId="1" xfId="0" applyNumberFormat="1" applyFont="1" applyFill="1" applyBorder="1" applyAlignment="1" applyProtection="1">
      <alignment horizontal="left" vertical="center" wrapText="1"/>
    </xf>
    <xf numFmtId="3" fontId="43" fillId="3" borderId="1" xfId="0" applyNumberFormat="1" applyFont="1" applyFill="1" applyBorder="1" applyAlignment="1" applyProtection="1">
      <alignment horizontal="left" vertical="center" wrapText="1"/>
    </xf>
    <xf numFmtId="3" fontId="43" fillId="3" borderId="1" xfId="0" applyNumberFormat="1" applyFont="1" applyFill="1" applyBorder="1" applyAlignment="1" applyProtection="1">
      <alignment horizontal="right" vertical="center"/>
      <protection locked="0"/>
    </xf>
    <xf numFmtId="3" fontId="44" fillId="0" borderId="1" xfId="1" applyNumberFormat="1" applyFont="1" applyFill="1" applyBorder="1" applyAlignment="1" applyProtection="1">
      <alignment horizontal="left" vertical="center" wrapText="1"/>
    </xf>
    <xf numFmtId="0" fontId="42" fillId="0" borderId="0" xfId="0" applyFont="1" applyAlignment="1">
      <alignment vertical="center"/>
    </xf>
    <xf numFmtId="3" fontId="43" fillId="3" borderId="1" xfId="1" applyNumberFormat="1" applyFont="1" applyFill="1" applyBorder="1" applyAlignment="1" applyProtection="1">
      <alignment vertical="center"/>
      <protection locked="0"/>
    </xf>
    <xf numFmtId="3" fontId="44" fillId="2" borderId="1" xfId="1" applyNumberFormat="1" applyFont="1" applyFill="1" applyBorder="1" applyAlignment="1" applyProtection="1">
      <alignment vertical="center"/>
      <protection locked="0"/>
    </xf>
    <xf numFmtId="0" fontId="44" fillId="2" borderId="1" xfId="6" applyFont="1" applyFill="1" applyBorder="1" applyAlignment="1" applyProtection="1">
      <alignment horizontal="left" vertical="center" wrapText="1"/>
    </xf>
    <xf numFmtId="3" fontId="44" fillId="2" borderId="1" xfId="6" applyNumberFormat="1" applyFont="1" applyFill="1" applyBorder="1" applyAlignment="1" applyProtection="1">
      <alignment vertical="center"/>
    </xf>
    <xf numFmtId="3" fontId="43" fillId="3" borderId="1" xfId="6" applyNumberFormat="1" applyFont="1" applyFill="1" applyBorder="1" applyAlignment="1" applyProtection="1">
      <alignment horizontal="center" vertical="center" wrapText="1"/>
    </xf>
    <xf numFmtId="0" fontId="43" fillId="0" borderId="1" xfId="1467" applyFont="1" applyFill="1" applyBorder="1" applyAlignment="1" applyProtection="1">
      <alignment horizontal="center" vertical="center"/>
    </xf>
    <xf numFmtId="3" fontId="46" fillId="2" borderId="1" xfId="0" applyNumberFormat="1" applyFont="1" applyFill="1" applyBorder="1" applyAlignment="1" applyProtection="1">
      <alignment horizontal="left" vertical="center" wrapText="1"/>
      <protection locked="0"/>
    </xf>
    <xf numFmtId="3" fontId="45" fillId="3" borderId="1" xfId="0" applyNumberFormat="1" applyFont="1" applyFill="1" applyBorder="1" applyAlignment="1" applyProtection="1">
      <alignment horizontal="left" vertical="center" wrapText="1"/>
      <protection locked="0"/>
    </xf>
    <xf numFmtId="3" fontId="46" fillId="3" borderId="1" xfId="0" applyNumberFormat="1" applyFont="1" applyFill="1" applyBorder="1" applyAlignment="1" applyProtection="1">
      <alignment horizontal="left" vertical="center" wrapText="1"/>
      <protection locked="0"/>
    </xf>
    <xf numFmtId="3" fontId="43" fillId="3" borderId="1" xfId="6" applyNumberFormat="1" applyFont="1" applyFill="1" applyBorder="1" applyAlignment="1" applyProtection="1">
      <alignment vertical="center"/>
      <protection locked="0"/>
    </xf>
    <xf numFmtId="3" fontId="44" fillId="0" borderId="1" xfId="6" applyNumberFormat="1" applyFont="1" applyFill="1" applyBorder="1" applyAlignment="1" applyProtection="1">
      <alignment vertical="center"/>
      <protection locked="0"/>
    </xf>
    <xf numFmtId="3" fontId="43" fillId="0" borderId="1" xfId="6" applyNumberFormat="1" applyFont="1" applyFill="1" applyBorder="1" applyAlignment="1" applyProtection="1">
      <alignment vertical="center"/>
      <protection locked="0"/>
    </xf>
    <xf numFmtId="3" fontId="44" fillId="2" borderId="1" xfId="6" applyNumberFormat="1" applyFont="1" applyFill="1" applyBorder="1" applyAlignment="1" applyProtection="1">
      <alignment vertical="center"/>
      <protection locked="0"/>
    </xf>
    <xf numFmtId="3" fontId="43" fillId="3" borderId="1" xfId="6" applyNumberFormat="1" applyFont="1" applyFill="1" applyBorder="1" applyAlignment="1" applyProtection="1">
      <alignment horizontal="right" vertical="center"/>
      <protection locked="0"/>
    </xf>
    <xf numFmtId="3" fontId="43" fillId="0" borderId="1" xfId="6" applyNumberFormat="1" applyFont="1" applyFill="1" applyBorder="1" applyAlignment="1" applyProtection="1">
      <alignment horizontal="right" vertical="center"/>
      <protection locked="0"/>
    </xf>
    <xf numFmtId="3" fontId="43" fillId="3" borderId="1" xfId="0" applyNumberFormat="1" applyFont="1" applyFill="1" applyBorder="1" applyAlignment="1" applyProtection="1">
      <alignment vertical="center"/>
      <protection locked="0"/>
    </xf>
    <xf numFmtId="3" fontId="43" fillId="3" borderId="3" xfId="0" applyNumberFormat="1" applyFont="1" applyFill="1" applyBorder="1" applyAlignment="1" applyProtection="1">
      <alignment vertical="center"/>
      <protection locked="0"/>
    </xf>
    <xf numFmtId="3" fontId="43" fillId="3" borderId="3" xfId="6" applyNumberFormat="1" applyFont="1" applyFill="1" applyBorder="1" applyAlignment="1" applyProtection="1">
      <alignment vertical="center"/>
      <protection locked="0"/>
    </xf>
    <xf numFmtId="3" fontId="45" fillId="3" borderId="1" xfId="6" applyNumberFormat="1" applyFont="1" applyFill="1" applyBorder="1" applyAlignment="1" applyProtection="1">
      <alignment horizontal="left" vertical="center"/>
      <protection locked="0"/>
    </xf>
    <xf numFmtId="3" fontId="45" fillId="3" borderId="1" xfId="0" applyNumberFormat="1" applyFont="1" applyFill="1" applyBorder="1" applyAlignment="1" applyProtection="1">
      <alignment horizontal="left" vertical="center"/>
      <protection locked="0"/>
    </xf>
    <xf numFmtId="3" fontId="43" fillId="0" borderId="1" xfId="0" applyNumberFormat="1" applyFont="1" applyFill="1" applyBorder="1" applyAlignment="1" applyProtection="1">
      <alignment horizontal="left" vertical="center" wrapText="1"/>
    </xf>
    <xf numFmtId="0" fontId="44" fillId="2" borderId="1" xfId="0" applyFont="1" applyFill="1" applyBorder="1" applyAlignment="1" applyProtection="1">
      <alignment horizontal="left" vertical="center" wrapText="1"/>
    </xf>
    <xf numFmtId="0" fontId="43" fillId="0" borderId="0" xfId="0" applyFont="1" applyProtection="1">
      <protection locked="0"/>
    </xf>
    <xf numFmtId="4" fontId="43" fillId="3" borderId="1" xfId="6" applyNumberFormat="1" applyFont="1" applyFill="1" applyBorder="1" applyAlignment="1" applyProtection="1">
      <alignment vertical="center"/>
      <protection locked="0"/>
    </xf>
    <xf numFmtId="0" fontId="43" fillId="0" borderId="1" xfId="6" applyNumberFormat="1" applyFont="1" applyFill="1" applyBorder="1" applyAlignment="1" applyProtection="1">
      <alignment horizontal="center" vertical="center"/>
    </xf>
    <xf numFmtId="0" fontId="43" fillId="0" borderId="0" xfId="0" applyFont="1" applyAlignment="1" applyProtection="1">
      <alignment vertical="center"/>
    </xf>
    <xf numFmtId="0" fontId="44" fillId="8" borderId="1" xfId="6" applyNumberFormat="1" applyFont="1" applyFill="1" applyBorder="1" applyAlignment="1" applyProtection="1">
      <alignment horizontal="center" vertical="center"/>
    </xf>
    <xf numFmtId="0" fontId="44" fillId="8" borderId="1" xfId="6" applyFont="1" applyFill="1" applyBorder="1" applyAlignment="1" applyProtection="1">
      <alignment horizontal="left" vertical="center" wrapText="1"/>
    </xf>
    <xf numFmtId="3" fontId="44" fillId="8" borderId="1" xfId="6" applyNumberFormat="1" applyFont="1" applyFill="1" applyBorder="1" applyAlignment="1" applyProtection="1">
      <alignment vertical="center"/>
    </xf>
    <xf numFmtId="0" fontId="44" fillId="6" borderId="1" xfId="6" applyNumberFormat="1" applyFont="1" applyFill="1" applyBorder="1" applyAlignment="1" applyProtection="1">
      <alignment horizontal="center" vertical="center"/>
    </xf>
    <xf numFmtId="0" fontId="44" fillId="6" borderId="1" xfId="6" applyFont="1" applyFill="1" applyBorder="1" applyAlignment="1" applyProtection="1">
      <alignment horizontal="left" vertical="center" wrapText="1"/>
    </xf>
    <xf numFmtId="3" fontId="44" fillId="6" borderId="1" xfId="6" applyNumberFormat="1" applyFont="1" applyFill="1" applyBorder="1" applyAlignment="1" applyProtection="1">
      <alignment horizontal="right" vertical="center" wrapText="1"/>
    </xf>
    <xf numFmtId="0" fontId="44" fillId="2" borderId="1" xfId="6" applyNumberFormat="1" applyFont="1" applyFill="1" applyBorder="1" applyAlignment="1" applyProtection="1">
      <alignment horizontal="center" vertical="center"/>
    </xf>
    <xf numFmtId="0" fontId="44" fillId="2" borderId="1" xfId="6" applyFont="1" applyFill="1" applyBorder="1" applyAlignment="1" applyProtection="1">
      <alignment vertical="center" wrapText="1"/>
    </xf>
    <xf numFmtId="3" fontId="44" fillId="2" borderId="1" xfId="6" applyNumberFormat="1" applyFont="1" applyFill="1" applyBorder="1" applyAlignment="1" applyProtection="1">
      <alignment horizontal="right" vertical="center" wrapText="1"/>
    </xf>
    <xf numFmtId="0" fontId="45" fillId="0" borderId="0" xfId="0" applyFont="1" applyAlignment="1" applyProtection="1">
      <alignment vertical="center"/>
    </xf>
    <xf numFmtId="0" fontId="46" fillId="0" borderId="0" xfId="0" applyFont="1" applyAlignment="1" applyProtection="1">
      <alignment vertical="center"/>
    </xf>
    <xf numFmtId="3" fontId="44" fillId="6" borderId="1" xfId="6" applyNumberFormat="1" applyFont="1" applyFill="1" applyBorder="1" applyAlignment="1" applyProtection="1">
      <alignment horizontal="right" vertical="center"/>
    </xf>
    <xf numFmtId="0" fontId="44" fillId="6" borderId="1" xfId="6" applyFont="1" applyFill="1" applyBorder="1" applyAlignment="1" applyProtection="1">
      <alignment vertical="center" wrapText="1"/>
    </xf>
    <xf numFmtId="0" fontId="44" fillId="6" borderId="1" xfId="0" applyFont="1" applyFill="1" applyBorder="1" applyAlignment="1" applyProtection="1">
      <alignment horizontal="center" vertical="center"/>
    </xf>
    <xf numFmtId="0" fontId="44" fillId="6" borderId="1" xfId="0" applyFont="1" applyFill="1" applyBorder="1" applyAlignment="1" applyProtection="1">
      <alignment vertical="center" wrapText="1"/>
    </xf>
    <xf numFmtId="3" fontId="44" fillId="6" borderId="1" xfId="0" applyNumberFormat="1" applyFont="1" applyFill="1" applyBorder="1" applyAlignment="1" applyProtection="1">
      <alignment vertical="center"/>
    </xf>
    <xf numFmtId="3" fontId="44" fillId="6" borderId="1" xfId="6" applyNumberFormat="1" applyFont="1" applyFill="1" applyBorder="1" applyAlignment="1" applyProtection="1">
      <alignment vertical="center" wrapText="1"/>
    </xf>
    <xf numFmtId="0" fontId="44" fillId="2" borderId="1" xfId="0" applyFont="1" applyFill="1" applyBorder="1" applyAlignment="1" applyProtection="1">
      <alignment horizontal="center" vertical="center"/>
    </xf>
    <xf numFmtId="3" fontId="44" fillId="2" borderId="1" xfId="0" applyNumberFormat="1" applyFont="1" applyFill="1" applyBorder="1" applyAlignment="1" applyProtection="1">
      <alignment horizontal="right" vertical="center"/>
    </xf>
    <xf numFmtId="0" fontId="43" fillId="0" borderId="0" xfId="0" applyFont="1" applyFill="1" applyAlignment="1" applyProtection="1">
      <alignment vertical="center"/>
    </xf>
    <xf numFmtId="0" fontId="43" fillId="0" borderId="1" xfId="0" applyFont="1" applyBorder="1" applyAlignment="1" applyProtection="1">
      <alignment horizontal="center" vertical="center"/>
    </xf>
    <xf numFmtId="0" fontId="43" fillId="3" borderId="1" xfId="6" applyFont="1" applyFill="1" applyBorder="1" applyAlignment="1" applyProtection="1">
      <alignment horizontal="left" vertical="center" wrapText="1"/>
    </xf>
    <xf numFmtId="3" fontId="43" fillId="0" borderId="1" xfId="0" applyNumberFormat="1" applyFont="1" applyBorder="1" applyAlignment="1" applyProtection="1">
      <alignment vertical="center"/>
    </xf>
    <xf numFmtId="0" fontId="44" fillId="0" borderId="1" xfId="0" applyFont="1" applyFill="1" applyBorder="1" applyAlignment="1" applyProtection="1">
      <alignment horizontal="center" vertical="center"/>
    </xf>
    <xf numFmtId="0" fontId="44" fillId="0" borderId="1" xfId="0" applyFont="1" applyFill="1" applyBorder="1" applyAlignment="1" applyProtection="1">
      <alignment vertical="center" wrapText="1"/>
    </xf>
    <xf numFmtId="0" fontId="44" fillId="6" borderId="4" xfId="6" applyNumberFormat="1" applyFont="1" applyFill="1" applyBorder="1" applyAlignment="1" applyProtection="1">
      <alignment horizontal="center" vertical="center"/>
    </xf>
    <xf numFmtId="0" fontId="44" fillId="6" borderId="4" xfId="6" applyFont="1" applyFill="1" applyBorder="1" applyAlignment="1" applyProtection="1">
      <alignment vertical="center" wrapText="1"/>
    </xf>
    <xf numFmtId="3" fontId="44" fillId="6" borderId="4" xfId="6" applyNumberFormat="1" applyFont="1" applyFill="1" applyBorder="1" applyAlignment="1" applyProtection="1">
      <alignment horizontal="right" vertical="center" wrapText="1"/>
    </xf>
    <xf numFmtId="0" fontId="44" fillId="6" borderId="6" xfId="6" applyNumberFormat="1" applyFont="1" applyFill="1" applyBorder="1" applyAlignment="1" applyProtection="1">
      <alignment horizontal="center" vertical="center"/>
    </xf>
    <xf numFmtId="16" fontId="44" fillId="6" borderId="6" xfId="6" applyNumberFormat="1" applyFont="1" applyFill="1" applyBorder="1" applyAlignment="1" applyProtection="1">
      <alignment vertical="center" wrapText="1"/>
    </xf>
    <xf numFmtId="3" fontId="44" fillId="6" borderId="6" xfId="6" applyNumberFormat="1" applyFont="1" applyFill="1" applyBorder="1" applyAlignment="1" applyProtection="1">
      <alignment horizontal="right" vertical="center" wrapText="1"/>
    </xf>
    <xf numFmtId="0" fontId="44" fillId="0" borderId="1" xfId="6" applyNumberFormat="1" applyFont="1" applyFill="1" applyBorder="1" applyAlignment="1" applyProtection="1">
      <alignment horizontal="center" vertical="center"/>
    </xf>
    <xf numFmtId="16" fontId="44" fillId="0" borderId="1" xfId="6" applyNumberFormat="1" applyFont="1" applyFill="1" applyBorder="1" applyAlignment="1" applyProtection="1">
      <alignment vertical="center" wrapText="1"/>
    </xf>
    <xf numFmtId="0" fontId="43" fillId="0" borderId="1" xfId="6" applyNumberFormat="1" applyFont="1" applyFill="1" applyBorder="1" applyAlignment="1" applyProtection="1">
      <alignment horizontal="center" vertical="center" wrapText="1"/>
    </xf>
    <xf numFmtId="0" fontId="43" fillId="0" borderId="1" xfId="6" applyFont="1" applyFill="1" applyBorder="1" applyAlignment="1" applyProtection="1">
      <alignment vertical="center" wrapText="1"/>
    </xf>
    <xf numFmtId="3" fontId="43" fillId="0" borderId="1" xfId="6" applyNumberFormat="1" applyFont="1" applyFill="1" applyBorder="1" applyAlignment="1" applyProtection="1">
      <alignment vertical="center"/>
    </xf>
    <xf numFmtId="0" fontId="43" fillId="0" borderId="1" xfId="6" applyFont="1" applyFill="1" applyBorder="1" applyAlignment="1" applyProtection="1">
      <alignment horizontal="left" vertical="center" wrapText="1"/>
    </xf>
    <xf numFmtId="3" fontId="43" fillId="0" borderId="1" xfId="6" applyNumberFormat="1" applyFont="1" applyFill="1" applyBorder="1" applyAlignment="1" applyProtection="1">
      <alignment horizontal="left" vertical="center" wrapText="1"/>
    </xf>
    <xf numFmtId="3" fontId="43" fillId="0" borderId="1" xfId="6" applyNumberFormat="1" applyFont="1" applyFill="1" applyBorder="1" applyAlignment="1" applyProtection="1">
      <alignment vertical="center" wrapText="1"/>
    </xf>
    <xf numFmtId="0" fontId="44" fillId="6" borderId="1" xfId="6" applyNumberFormat="1" applyFont="1" applyFill="1" applyBorder="1" applyAlignment="1" applyProtection="1">
      <alignment horizontal="center" vertical="center" wrapText="1"/>
    </xf>
    <xf numFmtId="0" fontId="44" fillId="0" borderId="1" xfId="6" applyNumberFormat="1" applyFont="1" applyFill="1" applyBorder="1" applyAlignment="1" applyProtection="1">
      <alignment horizontal="center" vertical="center" wrapText="1"/>
    </xf>
    <xf numFmtId="3" fontId="44" fillId="0" borderId="1" xfId="6" applyNumberFormat="1" applyFont="1" applyFill="1" applyBorder="1" applyAlignment="1" applyProtection="1">
      <alignment vertical="center" wrapText="1"/>
    </xf>
    <xf numFmtId="49" fontId="44" fillId="6" borderId="1" xfId="6" applyNumberFormat="1" applyFont="1" applyFill="1" applyBorder="1" applyAlignment="1" applyProtection="1">
      <alignment horizontal="left" vertical="center" wrapText="1"/>
    </xf>
    <xf numFmtId="49" fontId="44" fillId="0" borderId="1" xfId="6" applyNumberFormat="1" applyFont="1" applyFill="1" applyBorder="1" applyAlignment="1" applyProtection="1">
      <alignment horizontal="left" vertical="center" wrapText="1"/>
    </xf>
    <xf numFmtId="0" fontId="44" fillId="8" borderId="1" xfId="6" applyFont="1" applyFill="1" applyBorder="1" applyAlignment="1" applyProtection="1">
      <alignment vertical="center" wrapText="1"/>
    </xf>
    <xf numFmtId="0" fontId="51" fillId="0" borderId="1" xfId="6" applyNumberFormat="1" applyFont="1" applyFill="1" applyBorder="1" applyAlignment="1" applyProtection="1">
      <alignment horizontal="center" vertical="center" wrapText="1"/>
    </xf>
    <xf numFmtId="49" fontId="51" fillId="0" borderId="1" xfId="6" applyNumberFormat="1" applyFont="1" applyFill="1" applyBorder="1" applyAlignment="1" applyProtection="1">
      <alignment horizontal="left" vertical="center" wrapText="1"/>
    </xf>
    <xf numFmtId="0" fontId="44" fillId="3" borderId="5" xfId="6" applyNumberFormat="1" applyFont="1" applyFill="1" applyBorder="1" applyAlignment="1" applyProtection="1">
      <alignment horizontal="center" vertical="center"/>
    </xf>
    <xf numFmtId="0" fontId="43" fillId="3" borderId="1" xfId="6" applyNumberFormat="1" applyFont="1" applyFill="1" applyBorder="1" applyAlignment="1" applyProtection="1">
      <alignment horizontal="center" vertical="center"/>
    </xf>
    <xf numFmtId="0" fontId="43" fillId="0" borderId="0" xfId="0" applyFont="1" applyAlignment="1" applyProtection="1">
      <alignment horizontal="center" vertical="center"/>
    </xf>
    <xf numFmtId="3" fontId="44" fillId="0" borderId="1" xfId="0" applyNumberFormat="1" applyFont="1" applyFill="1" applyBorder="1" applyAlignment="1" applyProtection="1">
      <alignment vertical="center"/>
      <protection locked="0"/>
    </xf>
    <xf numFmtId="3" fontId="43" fillId="0" borderId="1" xfId="0" applyNumberFormat="1" applyFont="1" applyBorder="1" applyAlignment="1" applyProtection="1">
      <alignment vertical="center"/>
      <protection locked="0"/>
    </xf>
    <xf numFmtId="0" fontId="43" fillId="3" borderId="1" xfId="6" applyFont="1" applyFill="1" applyBorder="1" applyAlignment="1" applyProtection="1">
      <alignment horizontal="left" vertical="center" wrapText="1"/>
      <protection locked="0"/>
    </xf>
    <xf numFmtId="0" fontId="43" fillId="0" borderId="1" xfId="0" applyFont="1" applyBorder="1" applyAlignment="1" applyProtection="1">
      <alignment horizontal="center" vertical="center"/>
      <protection locked="0"/>
    </xf>
    <xf numFmtId="0" fontId="43" fillId="0" borderId="1" xfId="6" applyNumberFormat="1" applyFont="1" applyFill="1" applyBorder="1" applyAlignment="1" applyProtection="1">
      <alignment horizontal="center" vertical="center" wrapText="1"/>
      <protection locked="0"/>
    </xf>
    <xf numFmtId="0" fontId="43" fillId="0" borderId="1" xfId="6" applyFont="1" applyFill="1" applyBorder="1" applyAlignment="1" applyProtection="1">
      <alignment vertical="center" wrapText="1"/>
      <protection locked="0"/>
    </xf>
    <xf numFmtId="0" fontId="43" fillId="0" borderId="1" xfId="6" applyFont="1" applyFill="1" applyBorder="1" applyAlignment="1" applyProtection="1">
      <alignment horizontal="left" vertical="center" wrapText="1"/>
      <protection locked="0"/>
    </xf>
    <xf numFmtId="0" fontId="43" fillId="0" borderId="1" xfId="6" applyNumberFormat="1" applyFont="1" applyFill="1" applyBorder="1" applyAlignment="1" applyProtection="1">
      <alignment horizontal="center" vertical="center"/>
      <protection locked="0"/>
    </xf>
    <xf numFmtId="3" fontId="43" fillId="0" borderId="1" xfId="6" applyNumberFormat="1" applyFont="1" applyFill="1" applyBorder="1" applyAlignment="1" applyProtection="1">
      <alignment horizontal="left" vertical="center" wrapText="1"/>
      <protection locked="0"/>
    </xf>
    <xf numFmtId="3" fontId="43" fillId="0" borderId="1" xfId="6" applyNumberFormat="1" applyFont="1" applyFill="1" applyBorder="1" applyAlignment="1" applyProtection="1">
      <alignment vertical="center" wrapText="1"/>
      <protection locked="0"/>
    </xf>
    <xf numFmtId="3" fontId="43" fillId="3" borderId="6" xfId="6" applyNumberFormat="1" applyFont="1" applyFill="1" applyBorder="1" applyAlignment="1" applyProtection="1">
      <alignment horizontal="right" vertical="center" wrapText="1"/>
      <protection locked="0"/>
    </xf>
    <xf numFmtId="3" fontId="43" fillId="3" borderId="1" xfId="6" applyNumberFormat="1" applyFont="1" applyFill="1" applyBorder="1" applyAlignment="1" applyProtection="1">
      <alignment horizontal="right" vertical="center" wrapText="1"/>
      <protection locked="0"/>
    </xf>
    <xf numFmtId="0" fontId="43" fillId="3" borderId="1" xfId="6" applyFont="1" applyFill="1" applyBorder="1" applyAlignment="1" applyProtection="1">
      <alignment horizontal="right" vertical="center"/>
      <protection locked="0"/>
    </xf>
    <xf numFmtId="0" fontId="43" fillId="3" borderId="1" xfId="6" applyFont="1" applyFill="1" applyBorder="1" applyAlignment="1" applyProtection="1">
      <alignment horizontal="right" vertical="center" wrapText="1"/>
      <protection locked="0"/>
    </xf>
    <xf numFmtId="3" fontId="46" fillId="2" borderId="1" xfId="6" applyNumberFormat="1" applyFont="1" applyFill="1" applyBorder="1" applyAlignment="1" applyProtection="1">
      <alignment horizontal="left" vertical="center" wrapText="1"/>
      <protection locked="0"/>
    </xf>
    <xf numFmtId="0" fontId="43" fillId="3" borderId="3" xfId="6" applyFont="1" applyFill="1" applyBorder="1" applyAlignment="1" applyProtection="1">
      <alignment horizontal="right" vertical="center" wrapText="1"/>
      <protection locked="0"/>
    </xf>
    <xf numFmtId="0" fontId="43" fillId="7" borderId="1" xfId="0" applyFont="1" applyFill="1" applyBorder="1" applyAlignment="1" applyProtection="1">
      <alignment horizontal="center" vertical="center" wrapText="1"/>
      <protection locked="0"/>
    </xf>
    <xf numFmtId="0" fontId="43" fillId="7" borderId="1" xfId="0" applyFont="1" applyFill="1" applyBorder="1" applyAlignment="1" applyProtection="1">
      <alignment horizontal="left" vertical="center" wrapText="1"/>
      <protection locked="0"/>
    </xf>
    <xf numFmtId="0" fontId="43" fillId="7" borderId="10" xfId="0" applyFont="1" applyFill="1" applyBorder="1" applyAlignment="1" applyProtection="1">
      <alignment horizontal="center" vertical="center" wrapText="1"/>
      <protection locked="0"/>
    </xf>
    <xf numFmtId="0" fontId="43" fillId="7" borderId="10" xfId="0" applyFont="1" applyFill="1" applyBorder="1" applyAlignment="1" applyProtection="1">
      <alignment horizontal="left" vertical="center" wrapText="1" indent="1"/>
      <protection locked="0"/>
    </xf>
    <xf numFmtId="0" fontId="43" fillId="7" borderId="10" xfId="0" applyFont="1" applyFill="1" applyBorder="1" applyAlignment="1" applyProtection="1">
      <alignment horizontal="left" vertical="center" wrapText="1"/>
      <protection locked="0"/>
    </xf>
    <xf numFmtId="0" fontId="43" fillId="0" borderId="1" xfId="6" applyFont="1" applyFill="1" applyBorder="1" applyAlignment="1" applyProtection="1">
      <alignment horizontal="center" vertical="center"/>
      <protection locked="0"/>
    </xf>
    <xf numFmtId="0" fontId="43" fillId="7" borderId="11" xfId="0" applyFont="1" applyFill="1" applyBorder="1" applyAlignment="1" applyProtection="1">
      <alignment horizontal="center" vertical="center" wrapText="1"/>
      <protection locked="0"/>
    </xf>
    <xf numFmtId="0" fontId="43" fillId="7" borderId="11" xfId="0" applyFont="1" applyFill="1" applyBorder="1" applyAlignment="1" applyProtection="1">
      <alignment horizontal="left" vertical="center" wrapText="1"/>
      <protection locked="0"/>
    </xf>
    <xf numFmtId="0" fontId="43" fillId="0" borderId="0" xfId="0" applyFont="1" applyAlignment="1" applyProtection="1">
      <alignment vertical="center"/>
      <protection locked="0"/>
    </xf>
    <xf numFmtId="3" fontId="44" fillId="0" borderId="1" xfId="0" applyNumberFormat="1" applyFont="1" applyFill="1" applyBorder="1" applyAlignment="1" applyProtection="1">
      <alignment vertical="center"/>
    </xf>
    <xf numFmtId="0" fontId="43" fillId="0" borderId="1" xfId="0" applyFont="1" applyBorder="1" applyAlignment="1">
      <alignment horizontal="center" vertical="center"/>
    </xf>
    <xf numFmtId="3" fontId="43" fillId="0" borderId="1" xfId="0" applyNumberFormat="1" applyFont="1" applyBorder="1" applyAlignment="1">
      <alignment horizontal="center" vertical="center" wrapText="1"/>
    </xf>
    <xf numFmtId="3" fontId="45" fillId="5" borderId="1" xfId="0" applyNumberFormat="1" applyFont="1" applyFill="1" applyBorder="1" applyAlignment="1">
      <alignment horizontal="center" vertical="center" wrapText="1"/>
    </xf>
    <xf numFmtId="166" fontId="45" fillId="5" borderId="1" xfId="12" applyNumberFormat="1" applyFont="1" applyFill="1" applyBorder="1" applyAlignment="1">
      <alignment horizontal="center" vertical="center" wrapText="1"/>
    </xf>
    <xf numFmtId="3" fontId="45" fillId="0" borderId="1" xfId="0" applyNumberFormat="1" applyFont="1" applyBorder="1" applyAlignment="1">
      <alignment horizontal="center" vertical="center" wrapText="1"/>
    </xf>
    <xf numFmtId="3" fontId="43" fillId="0" borderId="0" xfId="0" applyNumberFormat="1" applyFont="1" applyAlignment="1">
      <alignment vertical="center"/>
    </xf>
    <xf numFmtId="3" fontId="45" fillId="5" borderId="1" xfId="12" applyNumberFormat="1" applyFont="1" applyFill="1" applyBorder="1" applyAlignment="1">
      <alignment horizontal="center" vertical="center" wrapText="1"/>
    </xf>
    <xf numFmtId="0" fontId="44" fillId="2" borderId="1" xfId="0" applyFont="1" applyFill="1" applyBorder="1" applyAlignment="1">
      <alignment horizontal="center" vertical="center"/>
    </xf>
    <xf numFmtId="3" fontId="44" fillId="2" borderId="1" xfId="0" applyNumberFormat="1" applyFont="1" applyFill="1" applyBorder="1" applyAlignment="1">
      <alignment horizontal="center" vertical="center" wrapText="1"/>
    </xf>
    <xf numFmtId="3" fontId="46" fillId="2" borderId="1" xfId="0" applyNumberFormat="1" applyFont="1" applyFill="1" applyBorder="1" applyAlignment="1">
      <alignment horizontal="center" vertical="center" wrapText="1"/>
    </xf>
    <xf numFmtId="166" fontId="46" fillId="2" borderId="1" xfId="12" applyNumberFormat="1" applyFont="1" applyFill="1" applyBorder="1" applyAlignment="1">
      <alignment horizontal="center" vertical="center" wrapText="1"/>
    </xf>
    <xf numFmtId="3" fontId="46" fillId="2" borderId="1" xfId="0" applyNumberFormat="1" applyFont="1" applyFill="1" applyBorder="1" applyAlignment="1">
      <alignment horizontal="left" vertical="center" wrapText="1"/>
    </xf>
    <xf numFmtId="49" fontId="44" fillId="2" borderId="1" xfId="0" applyNumberFormat="1" applyFont="1" applyFill="1" applyBorder="1" applyAlignment="1">
      <alignment horizontal="center" vertical="center"/>
    </xf>
    <xf numFmtId="3" fontId="44" fillId="2" borderId="1" xfId="0" applyNumberFormat="1" applyFont="1" applyFill="1" applyBorder="1" applyAlignment="1">
      <alignment horizontal="left" vertical="center" wrapText="1"/>
    </xf>
    <xf numFmtId="3" fontId="44" fillId="0" borderId="0" xfId="0" applyNumberFormat="1" applyFont="1" applyAlignment="1">
      <alignment vertical="center"/>
    </xf>
    <xf numFmtId="49" fontId="43" fillId="3" borderId="1" xfId="0" applyNumberFormat="1" applyFont="1" applyFill="1" applyBorder="1" applyAlignment="1">
      <alignment horizontal="center" vertical="center"/>
    </xf>
    <xf numFmtId="3" fontId="43" fillId="3" borderId="1" xfId="0" applyNumberFormat="1" applyFont="1" applyFill="1" applyBorder="1" applyAlignment="1">
      <alignment horizontal="left" vertical="center" wrapText="1"/>
    </xf>
    <xf numFmtId="3" fontId="45" fillId="3" borderId="1" xfId="0" applyNumberFormat="1" applyFont="1" applyFill="1" applyBorder="1" applyAlignment="1">
      <alignment horizontal="center" vertical="center" wrapText="1"/>
    </xf>
    <xf numFmtId="166" fontId="45" fillId="3" borderId="1" xfId="12" applyNumberFormat="1" applyFont="1" applyFill="1" applyBorder="1" applyAlignment="1">
      <alignment horizontal="center" vertical="center" wrapText="1"/>
    </xf>
    <xf numFmtId="3" fontId="43" fillId="0" borderId="1" xfId="0" applyNumberFormat="1" applyFont="1" applyBorder="1" applyAlignment="1">
      <alignment horizontal="left" vertical="center" wrapText="1"/>
    </xf>
    <xf numFmtId="49" fontId="44" fillId="3" borderId="1" xfId="0" applyNumberFormat="1" applyFont="1" applyFill="1" applyBorder="1" applyAlignment="1">
      <alignment horizontal="center" vertical="center"/>
    </xf>
    <xf numFmtId="3" fontId="44" fillId="3" borderId="1" xfId="0" applyNumberFormat="1" applyFont="1" applyFill="1" applyBorder="1" applyAlignment="1">
      <alignment horizontal="left" vertical="center" wrapText="1"/>
    </xf>
    <xf numFmtId="3" fontId="46" fillId="3" borderId="1" xfId="0" applyNumberFormat="1" applyFont="1" applyFill="1" applyBorder="1" applyAlignment="1">
      <alignment horizontal="center" vertical="center" wrapText="1"/>
    </xf>
    <xf numFmtId="166" fontId="46" fillId="3" borderId="1" xfId="12" applyNumberFormat="1" applyFont="1" applyFill="1" applyBorder="1" applyAlignment="1">
      <alignment horizontal="center" vertical="center" wrapText="1"/>
    </xf>
    <xf numFmtId="3" fontId="44" fillId="3" borderId="1" xfId="1" applyNumberFormat="1" applyFont="1" applyFill="1" applyBorder="1" applyAlignment="1">
      <alignment horizontal="left" vertical="center" wrapText="1"/>
    </xf>
    <xf numFmtId="3" fontId="47" fillId="0" borderId="0" xfId="0" applyNumberFormat="1" applyFont="1" applyAlignment="1">
      <alignment vertical="center"/>
    </xf>
    <xf numFmtId="49" fontId="44" fillId="0" borderId="1" xfId="0" applyNumberFormat="1" applyFont="1" applyBorder="1" applyAlignment="1">
      <alignment horizontal="center" vertical="center"/>
    </xf>
    <xf numFmtId="3" fontId="44" fillId="0" borderId="1" xfId="1" applyNumberFormat="1" applyFont="1" applyBorder="1" applyAlignment="1">
      <alignment horizontal="left" vertical="center" wrapText="1"/>
    </xf>
    <xf numFmtId="3" fontId="46" fillId="0" borderId="1" xfId="0" applyNumberFormat="1" applyFont="1" applyBorder="1" applyAlignment="1">
      <alignment horizontal="center" vertical="center" wrapText="1"/>
    </xf>
    <xf numFmtId="166" fontId="46" fillId="0" borderId="1" xfId="12" applyNumberFormat="1" applyFont="1" applyBorder="1" applyAlignment="1">
      <alignment horizontal="center" vertical="center" wrapText="1"/>
    </xf>
    <xf numFmtId="0" fontId="44" fillId="2" borderId="1" xfId="0" applyFont="1" applyFill="1" applyBorder="1" applyAlignment="1">
      <alignment vertical="center" wrapText="1"/>
    </xf>
    <xf numFmtId="0" fontId="44" fillId="3" borderId="1" xfId="0" applyFont="1" applyFill="1" applyBorder="1" applyAlignment="1">
      <alignment horizontal="center" vertical="center"/>
    </xf>
    <xf numFmtId="0" fontId="44" fillId="3" borderId="1" xfId="0" applyFont="1" applyFill="1" applyBorder="1" applyAlignment="1">
      <alignment vertical="center" wrapText="1"/>
    </xf>
    <xf numFmtId="0" fontId="43" fillId="3" borderId="1" xfId="0" applyFont="1" applyFill="1" applyBorder="1" applyAlignment="1">
      <alignment horizontal="center" vertical="center"/>
    </xf>
    <xf numFmtId="0" fontId="43" fillId="3" borderId="1" xfId="0" applyFont="1" applyFill="1" applyBorder="1" applyAlignment="1">
      <alignment vertical="center" wrapText="1"/>
    </xf>
    <xf numFmtId="0" fontId="44" fillId="2" borderId="1" xfId="0" applyFont="1" applyFill="1" applyBorder="1" applyAlignment="1">
      <alignment horizontal="left" vertical="center" wrapText="1"/>
    </xf>
    <xf numFmtId="0" fontId="43" fillId="3" borderId="1" xfId="0" applyFont="1" applyFill="1" applyBorder="1" applyAlignment="1">
      <alignment horizontal="left" vertical="center" wrapText="1"/>
    </xf>
    <xf numFmtId="166" fontId="45" fillId="0" borderId="1" xfId="12" applyNumberFormat="1" applyFont="1" applyBorder="1" applyAlignment="1">
      <alignment horizontal="center" vertical="center" wrapText="1"/>
    </xf>
    <xf numFmtId="0" fontId="44" fillId="3" borderId="1" xfId="0" applyFont="1" applyFill="1" applyBorder="1" applyAlignment="1">
      <alignment horizontal="left" vertical="center" wrapText="1"/>
    </xf>
    <xf numFmtId="0" fontId="44" fillId="3" borderId="1" xfId="0" applyFont="1" applyFill="1" applyBorder="1" applyAlignment="1">
      <alignment horizontal="left" vertical="center"/>
    </xf>
    <xf numFmtId="0" fontId="43" fillId="2" borderId="1" xfId="0" applyFont="1" applyFill="1" applyBorder="1" applyAlignment="1">
      <alignment horizontal="center" vertical="center"/>
    </xf>
    <xf numFmtId="0" fontId="43" fillId="2" borderId="1" xfId="0" applyFont="1" applyFill="1" applyBorder="1" applyAlignment="1">
      <alignment horizontal="left" vertical="center" wrapText="1"/>
    </xf>
    <xf numFmtId="3" fontId="45" fillId="2" borderId="1" xfId="0" applyNumberFormat="1" applyFont="1" applyFill="1" applyBorder="1" applyAlignment="1">
      <alignment horizontal="center" vertical="center" wrapText="1"/>
    </xf>
    <xf numFmtId="166" fontId="45" fillId="2" borderId="1" xfId="12" applyNumberFormat="1" applyFont="1" applyFill="1" applyBorder="1" applyAlignment="1">
      <alignment horizontal="center" vertical="center" wrapText="1"/>
    </xf>
    <xf numFmtId="0" fontId="43" fillId="3" borderId="1" xfId="0" applyFont="1" applyFill="1" applyBorder="1" applyAlignment="1">
      <alignment horizontal="left" vertical="center"/>
    </xf>
    <xf numFmtId="0" fontId="46" fillId="2" borderId="1" xfId="0" applyFont="1" applyFill="1" applyBorder="1" applyAlignment="1">
      <alignment horizontal="center" vertical="center"/>
    </xf>
    <xf numFmtId="3" fontId="46" fillId="0" borderId="0" xfId="0" applyNumberFormat="1" applyFont="1" applyAlignment="1">
      <alignment vertical="center"/>
    </xf>
    <xf numFmtId="0" fontId="44" fillId="2" borderId="1" xfId="0" applyFont="1" applyFill="1" applyBorder="1" applyAlignment="1">
      <alignment horizontal="left" vertical="center"/>
    </xf>
    <xf numFmtId="0" fontId="43" fillId="0" borderId="1" xfId="0" applyFont="1" applyBorder="1" applyAlignment="1" applyProtection="1">
      <alignment horizontal="right" vertical="center" wrapText="1"/>
      <protection locked="0"/>
    </xf>
    <xf numFmtId="0" fontId="43" fillId="0" borderId="1" xfId="0" applyFont="1" applyBorder="1" applyAlignment="1">
      <alignment horizontal="left" vertical="center" wrapText="1"/>
    </xf>
    <xf numFmtId="0" fontId="46" fillId="2" borderId="1" xfId="0" applyFont="1" applyFill="1" applyBorder="1" applyAlignment="1">
      <alignment horizontal="center" vertical="center" wrapText="1"/>
    </xf>
    <xf numFmtId="0" fontId="46" fillId="2" borderId="1" xfId="0" applyFont="1" applyFill="1" applyBorder="1" applyAlignment="1">
      <alignment horizontal="left" vertical="center" wrapText="1"/>
    </xf>
    <xf numFmtId="0" fontId="44" fillId="0" borderId="1" xfId="0" applyFont="1" applyBorder="1" applyAlignment="1">
      <alignment horizontal="left" vertical="center" wrapText="1"/>
    </xf>
    <xf numFmtId="0" fontId="44" fillId="2"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3" fontId="43" fillId="0" borderId="0" xfId="4" applyNumberFormat="1" applyFont="1" applyAlignment="1">
      <alignment vertical="center"/>
    </xf>
    <xf numFmtId="0" fontId="43" fillId="3" borderId="1" xfId="0" applyFont="1" applyFill="1" applyBorder="1" applyAlignment="1">
      <alignment vertical="center"/>
    </xf>
    <xf numFmtId="0" fontId="43" fillId="2" borderId="1" xfId="1" applyFont="1" applyFill="1" applyBorder="1" applyAlignment="1">
      <alignment horizontal="center" vertical="center"/>
    </xf>
    <xf numFmtId="3" fontId="48" fillId="2" borderId="1" xfId="0" applyNumberFormat="1" applyFont="1" applyFill="1" applyBorder="1" applyAlignment="1">
      <alignment horizontal="left" vertical="center" wrapText="1"/>
    </xf>
    <xf numFmtId="0" fontId="44" fillId="0" borderId="1" xfId="1" applyFont="1" applyBorder="1" applyAlignment="1">
      <alignment horizontal="center" vertical="center"/>
    </xf>
    <xf numFmtId="0" fontId="44" fillId="2" borderId="1" xfId="1" applyFont="1" applyFill="1" applyBorder="1" applyAlignment="1">
      <alignment horizontal="center" vertical="center"/>
    </xf>
    <xf numFmtId="0" fontId="43" fillId="3" borderId="1" xfId="1" applyFont="1" applyFill="1" applyBorder="1" applyAlignment="1">
      <alignment horizontal="center" vertical="center"/>
    </xf>
    <xf numFmtId="49" fontId="44" fillId="2" borderId="1" xfId="1" applyNumberFormat="1" applyFont="1" applyFill="1" applyBorder="1" applyAlignment="1">
      <alignment horizontal="center" vertical="center"/>
    </xf>
    <xf numFmtId="49" fontId="43" fillId="3" borderId="1" xfId="1" applyNumberFormat="1" applyFont="1" applyFill="1" applyBorder="1" applyAlignment="1">
      <alignment horizontal="center" vertical="center"/>
    </xf>
    <xf numFmtId="3" fontId="43" fillId="0" borderId="1" xfId="0" applyNumberFormat="1" applyFont="1" applyBorder="1" applyAlignment="1">
      <alignment vertical="center"/>
    </xf>
    <xf numFmtId="3" fontId="43" fillId="0" borderId="1" xfId="0" applyNumberFormat="1" applyFont="1" applyBorder="1" applyAlignment="1">
      <alignment vertical="center" wrapText="1"/>
    </xf>
    <xf numFmtId="0" fontId="44" fillId="0" borderId="1" xfId="0" applyFont="1" applyBorder="1" applyAlignment="1">
      <alignment horizontal="center" vertical="center"/>
    </xf>
    <xf numFmtId="3" fontId="44" fillId="0" borderId="1" xfId="0" applyNumberFormat="1" applyFont="1" applyBorder="1" applyAlignment="1">
      <alignment horizontal="left" vertical="center" wrapText="1"/>
    </xf>
    <xf numFmtId="3" fontId="43" fillId="0" borderId="0" xfId="0" applyNumberFormat="1" applyFont="1" applyAlignment="1">
      <alignment horizontal="center" vertical="center"/>
    </xf>
    <xf numFmtId="0" fontId="43" fillId="0" borderId="1" xfId="6" applyFont="1" applyBorder="1" applyAlignment="1">
      <alignment horizontal="center" vertical="center"/>
    </xf>
    <xf numFmtId="3" fontId="43" fillId="0" borderId="1" xfId="1" applyNumberFormat="1" applyFont="1" applyBorder="1" applyAlignment="1">
      <alignment horizontal="center" vertical="center" wrapText="1"/>
    </xf>
    <xf numFmtId="0" fontId="43" fillId="0" borderId="0" xfId="0" applyFont="1" applyAlignment="1">
      <alignment vertical="center"/>
    </xf>
    <xf numFmtId="3" fontId="43" fillId="3" borderId="1" xfId="6" applyNumberFormat="1" applyFont="1" applyFill="1" applyBorder="1" applyAlignment="1">
      <alignment horizontal="center" vertical="center" wrapText="1"/>
    </xf>
    <xf numFmtId="3" fontId="43" fillId="3" borderId="1" xfId="6" applyNumberFormat="1" applyFont="1" applyFill="1" applyBorder="1" applyAlignment="1">
      <alignment horizontal="center" vertical="center"/>
    </xf>
    <xf numFmtId="3" fontId="45" fillId="3" borderId="1" xfId="6" applyNumberFormat="1" applyFont="1" applyFill="1" applyBorder="1" applyAlignment="1">
      <alignment horizontal="center" vertical="center"/>
    </xf>
    <xf numFmtId="49" fontId="44" fillId="2" borderId="5" xfId="6" applyNumberFormat="1" applyFont="1" applyFill="1" applyBorder="1" applyAlignment="1">
      <alignment horizontal="center" vertical="center"/>
    </xf>
    <xf numFmtId="0" fontId="44" fillId="2" borderId="7" xfId="6" applyFont="1" applyFill="1" applyBorder="1" applyAlignment="1">
      <alignment vertical="center" wrapText="1"/>
    </xf>
    <xf numFmtId="0" fontId="44" fillId="2" borderId="8" xfId="6" applyFont="1" applyFill="1" applyBorder="1" applyAlignment="1">
      <alignment horizontal="center" vertical="center" wrapText="1"/>
    </xf>
    <xf numFmtId="3" fontId="44" fillId="2" borderId="3" xfId="6" applyNumberFormat="1" applyFont="1" applyFill="1" applyBorder="1" applyAlignment="1">
      <alignment horizontal="center" vertical="center"/>
    </xf>
    <xf numFmtId="3" fontId="44" fillId="2" borderId="1" xfId="6" applyNumberFormat="1" applyFont="1" applyFill="1" applyBorder="1" applyAlignment="1">
      <alignment horizontal="center" vertical="center"/>
    </xf>
    <xf numFmtId="3" fontId="46" fillId="2" borderId="3" xfId="6" applyNumberFormat="1" applyFont="1" applyFill="1" applyBorder="1" applyAlignment="1">
      <alignment horizontal="center" vertical="center"/>
    </xf>
    <xf numFmtId="3" fontId="46" fillId="2" borderId="1" xfId="6" applyNumberFormat="1" applyFont="1" applyFill="1" applyBorder="1" applyAlignment="1">
      <alignment horizontal="center" vertical="center"/>
    </xf>
    <xf numFmtId="49" fontId="44" fillId="4" borderId="5" xfId="6" applyNumberFormat="1" applyFont="1" applyFill="1" applyBorder="1" applyAlignment="1">
      <alignment horizontal="center" vertical="center"/>
    </xf>
    <xf numFmtId="0" fontId="44" fillId="4" borderId="4" xfId="6" applyFont="1" applyFill="1" applyBorder="1" applyAlignment="1">
      <alignment vertical="center" wrapText="1"/>
    </xf>
    <xf numFmtId="0" fontId="44" fillId="4" borderId="4" xfId="6" applyFont="1" applyFill="1" applyBorder="1" applyAlignment="1">
      <alignment horizontal="center" vertical="center" wrapText="1"/>
    </xf>
    <xf numFmtId="3" fontId="44" fillId="4" borderId="1" xfId="6" applyNumberFormat="1" applyFont="1" applyFill="1" applyBorder="1" applyAlignment="1">
      <alignment horizontal="center" vertical="center"/>
    </xf>
    <xf numFmtId="3" fontId="46" fillId="4" borderId="1" xfId="6" applyNumberFormat="1" applyFont="1" applyFill="1" applyBorder="1" applyAlignment="1">
      <alignment horizontal="center" vertical="center"/>
    </xf>
    <xf numFmtId="49" fontId="43" fillId="0" borderId="5" xfId="6" applyNumberFormat="1" applyFont="1" applyBorder="1" applyAlignment="1">
      <alignment horizontal="center" vertical="center"/>
    </xf>
    <xf numFmtId="0" fontId="43" fillId="0" borderId="4" xfId="6" applyFont="1" applyBorder="1" applyAlignment="1">
      <alignment vertical="center" wrapText="1"/>
    </xf>
    <xf numFmtId="0" fontId="43" fillId="0" borderId="4" xfId="6" applyFont="1" applyBorder="1" applyAlignment="1">
      <alignment horizontal="center" vertical="center" wrapText="1"/>
    </xf>
    <xf numFmtId="0" fontId="43" fillId="3" borderId="1" xfId="6" applyFont="1" applyFill="1" applyBorder="1" applyAlignment="1">
      <alignment horizontal="center" vertical="center"/>
    </xf>
    <xf numFmtId="0" fontId="45" fillId="3" borderId="1" xfId="6" applyFont="1" applyFill="1" applyBorder="1" applyAlignment="1">
      <alignment horizontal="center" vertical="center"/>
    </xf>
    <xf numFmtId="166" fontId="45" fillId="3" borderId="1" xfId="12" applyNumberFormat="1" applyFont="1" applyFill="1" applyBorder="1" applyAlignment="1">
      <alignment horizontal="center" vertical="center"/>
    </xf>
    <xf numFmtId="0" fontId="45" fillId="3" borderId="1" xfId="6" applyFont="1" applyFill="1" applyBorder="1" applyAlignment="1" applyProtection="1">
      <alignment horizontal="left" vertical="center"/>
      <protection locked="0"/>
    </xf>
    <xf numFmtId="0" fontId="43" fillId="0" borderId="1" xfId="0" applyFont="1" applyBorder="1" applyAlignment="1">
      <alignment horizontal="left" vertical="center" wrapText="1" indent="2" readingOrder="1"/>
    </xf>
    <xf numFmtId="0" fontId="43" fillId="0" borderId="1" xfId="0" applyFont="1" applyBorder="1" applyAlignment="1" applyProtection="1">
      <alignment horizontal="center" vertical="center" wrapText="1"/>
      <protection locked="0"/>
    </xf>
    <xf numFmtId="0" fontId="43" fillId="3" borderId="1" xfId="6" applyFont="1" applyFill="1" applyBorder="1" applyAlignment="1" applyProtection="1">
      <alignment horizontal="center" vertical="center"/>
      <protection locked="0"/>
    </xf>
    <xf numFmtId="49" fontId="43" fillId="0" borderId="5" xfId="6" applyNumberFormat="1" applyFont="1" applyBorder="1" applyAlignment="1">
      <alignment horizontal="right" vertical="center"/>
    </xf>
    <xf numFmtId="0" fontId="45" fillId="0" borderId="1" xfId="0" applyFont="1" applyBorder="1" applyAlignment="1">
      <alignment horizontal="left" vertical="center" wrapText="1" indent="4" readingOrder="1"/>
    </xf>
    <xf numFmtId="0" fontId="43" fillId="0" borderId="6" xfId="0" applyFont="1" applyBorder="1" applyAlignment="1">
      <alignment horizontal="left" vertical="center" wrapText="1" readingOrder="1"/>
    </xf>
    <xf numFmtId="0" fontId="45" fillId="0" borderId="2" xfId="0" applyFont="1" applyBorder="1" applyAlignment="1">
      <alignment horizontal="center" vertical="center" wrapText="1"/>
    </xf>
    <xf numFmtId="166" fontId="45" fillId="0" borderId="2" xfId="12" applyNumberFormat="1" applyFont="1" applyBorder="1" applyAlignment="1">
      <alignment horizontal="center" vertical="center" wrapText="1"/>
    </xf>
    <xf numFmtId="0" fontId="45" fillId="0" borderId="2" xfId="0" applyFont="1" applyBorder="1" applyAlignment="1" applyProtection="1">
      <alignment horizontal="left" vertical="center" wrapText="1"/>
      <protection locked="0"/>
    </xf>
    <xf numFmtId="9" fontId="43" fillId="0" borderId="2" xfId="12" applyFont="1" applyBorder="1" applyAlignment="1">
      <alignment horizontal="center" vertical="center" wrapText="1"/>
    </xf>
    <xf numFmtId="0" fontId="43" fillId="0" borderId="2" xfId="0" applyFont="1" applyBorder="1" applyAlignment="1" applyProtection="1">
      <alignment horizontal="center" vertical="center" wrapText="1"/>
      <protection locked="0"/>
    </xf>
    <xf numFmtId="0" fontId="44" fillId="4" borderId="6" xfId="0" applyFont="1" applyFill="1" applyBorder="1" applyAlignment="1">
      <alignment horizontal="left" vertical="center" wrapText="1" readingOrder="1"/>
    </xf>
    <xf numFmtId="0" fontId="44" fillId="4" borderId="2" xfId="0" applyFont="1" applyFill="1" applyBorder="1" applyAlignment="1">
      <alignment horizontal="center" vertical="center" wrapText="1"/>
    </xf>
    <xf numFmtId="3" fontId="44" fillId="4" borderId="3" xfId="6" applyNumberFormat="1" applyFont="1" applyFill="1" applyBorder="1" applyAlignment="1">
      <alignment horizontal="center" vertical="center"/>
    </xf>
    <xf numFmtId="3" fontId="46" fillId="4" borderId="3" xfId="6" applyNumberFormat="1" applyFont="1" applyFill="1" applyBorder="1" applyAlignment="1">
      <alignment horizontal="center" vertical="center"/>
    </xf>
    <xf numFmtId="49" fontId="43" fillId="3" borderId="1" xfId="6" applyNumberFormat="1" applyFont="1" applyFill="1" applyBorder="1" applyAlignment="1">
      <alignment horizontal="center" vertical="center"/>
    </xf>
    <xf numFmtId="3" fontId="43" fillId="3" borderId="6" xfId="6" applyNumberFormat="1" applyFont="1" applyFill="1" applyBorder="1" applyAlignment="1">
      <alignment vertical="center" wrapText="1"/>
    </xf>
    <xf numFmtId="3" fontId="45" fillId="3" borderId="1" xfId="0" applyNumberFormat="1" applyFont="1" applyFill="1" applyBorder="1" applyAlignment="1">
      <alignment horizontal="center" vertical="center"/>
    </xf>
    <xf numFmtId="3" fontId="43" fillId="3" borderId="1" xfId="6" applyNumberFormat="1" applyFont="1" applyFill="1" applyBorder="1" applyAlignment="1">
      <alignment vertical="center" wrapText="1"/>
    </xf>
    <xf numFmtId="49" fontId="43" fillId="0" borderId="1" xfId="6" applyNumberFormat="1" applyFont="1" applyBorder="1" applyAlignment="1">
      <alignment horizontal="center" vertical="center"/>
    </xf>
    <xf numFmtId="3" fontId="43" fillId="0" borderId="1" xfId="6" applyNumberFormat="1" applyFont="1" applyBorder="1" applyAlignment="1">
      <alignment vertical="center" wrapText="1"/>
    </xf>
    <xf numFmtId="4" fontId="43" fillId="0" borderId="1" xfId="6" applyNumberFormat="1" applyFont="1" applyBorder="1" applyAlignment="1" applyProtection="1">
      <alignment horizontal="right" vertical="center" wrapText="1"/>
      <protection locked="0"/>
    </xf>
    <xf numFmtId="4" fontId="43" fillId="0" borderId="1" xfId="0" applyNumberFormat="1" applyFont="1" applyBorder="1" applyAlignment="1" applyProtection="1">
      <alignment horizontal="right" vertical="center"/>
      <protection locked="0"/>
    </xf>
    <xf numFmtId="4" fontId="45" fillId="0" borderId="1" xfId="0" applyNumberFormat="1" applyFont="1" applyBorder="1" applyAlignment="1">
      <alignment horizontal="center" vertical="center"/>
    </xf>
    <xf numFmtId="166" fontId="45" fillId="0" borderId="1" xfId="12" applyNumberFormat="1" applyFont="1" applyBorder="1" applyAlignment="1">
      <alignment horizontal="center" vertical="center"/>
    </xf>
    <xf numFmtId="3" fontId="43" fillId="3" borderId="6" xfId="6" applyNumberFormat="1" applyFont="1" applyFill="1" applyBorder="1" applyAlignment="1">
      <alignment horizontal="left" vertical="center" wrapText="1"/>
    </xf>
    <xf numFmtId="49" fontId="43" fillId="3" borderId="1" xfId="6" applyNumberFormat="1" applyFont="1" applyFill="1" applyBorder="1" applyAlignment="1">
      <alignment horizontal="right" vertical="center"/>
    </xf>
    <xf numFmtId="3" fontId="45" fillId="3" borderId="6" xfId="6" applyNumberFormat="1" applyFont="1" applyFill="1" applyBorder="1" applyAlignment="1">
      <alignment horizontal="left" vertical="center" wrapText="1" indent="2"/>
    </xf>
    <xf numFmtId="0" fontId="43" fillId="0" borderId="6" xfId="0" applyFont="1" applyBorder="1" applyAlignment="1" applyProtection="1">
      <alignment horizontal="right" vertical="center" wrapText="1"/>
      <protection locked="0"/>
    </xf>
    <xf numFmtId="3" fontId="43" fillId="0" borderId="1" xfId="6" applyNumberFormat="1" applyFont="1" applyBorder="1" applyAlignment="1" applyProtection="1">
      <alignment horizontal="right" vertical="center" wrapText="1"/>
      <protection locked="0"/>
    </xf>
    <xf numFmtId="3" fontId="43" fillId="0" borderId="1" xfId="0" applyNumberFormat="1" applyFont="1" applyBorder="1" applyAlignment="1" applyProtection="1">
      <alignment horizontal="right" vertical="center"/>
      <protection locked="0"/>
    </xf>
    <xf numFmtId="3" fontId="43" fillId="0" borderId="1" xfId="6" applyNumberFormat="1" applyFont="1" applyBorder="1" applyAlignment="1" applyProtection="1">
      <alignment horizontal="right" vertical="center"/>
      <protection locked="0"/>
    </xf>
    <xf numFmtId="3" fontId="45" fillId="0" borderId="1" xfId="0" applyNumberFormat="1" applyFont="1" applyBorder="1" applyAlignment="1">
      <alignment horizontal="center" vertical="center"/>
    </xf>
    <xf numFmtId="3" fontId="45" fillId="0" borderId="1" xfId="6" applyNumberFormat="1" applyFont="1" applyBorder="1" applyAlignment="1" applyProtection="1">
      <alignment horizontal="left" vertical="center"/>
      <protection locked="0"/>
    </xf>
    <xf numFmtId="49" fontId="44" fillId="4" borderId="1" xfId="6" applyNumberFormat="1" applyFont="1" applyFill="1" applyBorder="1" applyAlignment="1">
      <alignment horizontal="center" vertical="center"/>
    </xf>
    <xf numFmtId="3" fontId="44" fillId="4" borderId="1" xfId="6" applyNumberFormat="1" applyFont="1" applyFill="1" applyBorder="1" applyAlignment="1">
      <alignment vertical="center" wrapText="1"/>
    </xf>
    <xf numFmtId="3" fontId="44" fillId="4" borderId="3" xfId="6" applyNumberFormat="1" applyFont="1" applyFill="1" applyBorder="1" applyAlignment="1">
      <alignment horizontal="center" vertical="center" wrapText="1"/>
    </xf>
    <xf numFmtId="3" fontId="43" fillId="3" borderId="1" xfId="6" applyNumberFormat="1" applyFont="1" applyFill="1" applyBorder="1" applyAlignment="1">
      <alignment horizontal="right" vertical="center" wrapText="1"/>
    </xf>
    <xf numFmtId="3" fontId="43" fillId="3" borderId="1" xfId="0" applyNumberFormat="1" applyFont="1" applyFill="1" applyBorder="1" applyAlignment="1">
      <alignment vertical="center"/>
    </xf>
    <xf numFmtId="3" fontId="43" fillId="3" borderId="1" xfId="6" applyNumberFormat="1" applyFont="1" applyFill="1" applyBorder="1" applyAlignment="1">
      <alignment vertical="center"/>
    </xf>
    <xf numFmtId="3" fontId="43" fillId="3" borderId="1" xfId="6" applyNumberFormat="1" applyFont="1" applyFill="1" applyBorder="1" applyAlignment="1">
      <alignment horizontal="left" vertical="center" wrapText="1"/>
    </xf>
    <xf numFmtId="3" fontId="45" fillId="3" borderId="1" xfId="6" applyNumberFormat="1" applyFont="1" applyFill="1" applyBorder="1" applyAlignment="1">
      <alignment horizontal="left" vertical="center" wrapText="1" indent="2"/>
    </xf>
    <xf numFmtId="49" fontId="43" fillId="3" borderId="5" xfId="6" applyNumberFormat="1" applyFont="1" applyFill="1" applyBorder="1" applyAlignment="1">
      <alignment horizontal="center" vertical="center"/>
    </xf>
    <xf numFmtId="3" fontId="45" fillId="0" borderId="4" xfId="6" applyNumberFormat="1" applyFont="1" applyBorder="1" applyAlignment="1">
      <alignment horizontal="left" vertical="center" wrapText="1" indent="2"/>
    </xf>
    <xf numFmtId="3" fontId="43" fillId="0" borderId="9" xfId="6" applyNumberFormat="1" applyFont="1" applyBorder="1" applyAlignment="1" applyProtection="1">
      <alignment horizontal="right" vertical="center" wrapText="1"/>
      <protection locked="0"/>
    </xf>
    <xf numFmtId="3" fontId="45" fillId="3" borderId="3" xfId="0" applyNumberFormat="1" applyFont="1" applyFill="1" applyBorder="1" applyAlignment="1">
      <alignment horizontal="center" vertical="center"/>
    </xf>
    <xf numFmtId="0" fontId="44" fillId="2" borderId="4" xfId="6" applyFont="1" applyFill="1" applyBorder="1" applyAlignment="1">
      <alignment vertical="center" wrapText="1"/>
    </xf>
    <xf numFmtId="0" fontId="44" fillId="2" borderId="9" xfId="6" applyFont="1" applyFill="1" applyBorder="1" applyAlignment="1">
      <alignment horizontal="center" vertical="center" wrapText="1"/>
    </xf>
    <xf numFmtId="0" fontId="43" fillId="0" borderId="1" xfId="0" applyFont="1" applyBorder="1" applyAlignment="1">
      <alignment horizontal="left" vertical="center" wrapText="1" readingOrder="1"/>
    </xf>
    <xf numFmtId="4" fontId="43" fillId="0" borderId="1" xfId="0" applyNumberFormat="1" applyFont="1" applyBorder="1" applyAlignment="1" applyProtection="1">
      <alignment horizontal="right" vertical="center" wrapText="1"/>
      <protection locked="0"/>
    </xf>
    <xf numFmtId="4" fontId="45" fillId="3" borderId="1" xfId="6" applyNumberFormat="1" applyFont="1" applyFill="1" applyBorder="1" applyAlignment="1">
      <alignment horizontal="center" vertical="center"/>
    </xf>
    <xf numFmtId="0" fontId="44" fillId="2" borderId="1" xfId="0" applyFont="1" applyFill="1" applyBorder="1" applyAlignment="1">
      <alignment horizontal="left" vertical="center" wrapText="1" readingOrder="1"/>
    </xf>
    <xf numFmtId="0" fontId="44" fillId="2" borderId="3" xfId="0" applyFont="1" applyFill="1" applyBorder="1" applyAlignment="1">
      <alignment horizontal="center" vertical="center" wrapText="1"/>
    </xf>
    <xf numFmtId="49" fontId="44" fillId="2" borderId="1" xfId="6" applyNumberFormat="1" applyFont="1" applyFill="1" applyBorder="1" applyAlignment="1">
      <alignment horizontal="center" vertical="center"/>
    </xf>
    <xf numFmtId="3" fontId="44" fillId="2" borderId="1" xfId="6" applyNumberFormat="1" applyFont="1" applyFill="1" applyBorder="1" applyAlignment="1">
      <alignment vertical="center" wrapText="1"/>
    </xf>
    <xf numFmtId="3" fontId="44" fillId="2" borderId="1" xfId="6" applyNumberFormat="1" applyFont="1" applyFill="1" applyBorder="1" applyAlignment="1">
      <alignment horizontal="right" vertical="center" wrapText="1"/>
    </xf>
    <xf numFmtId="3" fontId="46" fillId="2" borderId="1" xfId="6" applyNumberFormat="1" applyFont="1" applyFill="1" applyBorder="1" applyAlignment="1">
      <alignment horizontal="center" vertical="center" wrapText="1"/>
    </xf>
    <xf numFmtId="0" fontId="43" fillId="3" borderId="1" xfId="6" applyFont="1" applyFill="1" applyBorder="1" applyAlignment="1">
      <alignment vertical="center"/>
    </xf>
    <xf numFmtId="0" fontId="43" fillId="3" borderId="1" xfId="6" applyFont="1" applyFill="1" applyBorder="1" applyAlignment="1">
      <alignment vertical="center" wrapText="1"/>
    </xf>
    <xf numFmtId="3" fontId="48" fillId="2" borderId="1" xfId="6" applyNumberFormat="1" applyFont="1" applyFill="1" applyBorder="1" applyAlignment="1">
      <alignment vertical="center" wrapText="1"/>
    </xf>
    <xf numFmtId="49" fontId="44" fillId="32" borderId="1" xfId="6" applyNumberFormat="1" applyFont="1" applyFill="1" applyBorder="1" applyAlignment="1">
      <alignment horizontal="center" vertical="center"/>
    </xf>
    <xf numFmtId="0" fontId="44" fillId="32" borderId="1" xfId="6" applyFont="1" applyFill="1" applyBorder="1" applyAlignment="1">
      <alignment vertical="center" wrapText="1"/>
    </xf>
    <xf numFmtId="0" fontId="44" fillId="32" borderId="3" xfId="6" applyFont="1" applyFill="1" applyBorder="1" applyAlignment="1">
      <alignment horizontal="center" vertical="center" wrapText="1"/>
    </xf>
    <xf numFmtId="3" fontId="44" fillId="32" borderId="3" xfId="6" applyNumberFormat="1" applyFont="1" applyFill="1" applyBorder="1" applyAlignment="1">
      <alignment horizontal="center" vertical="center"/>
    </xf>
    <xf numFmtId="3" fontId="44" fillId="32" borderId="1" xfId="6" applyNumberFormat="1" applyFont="1" applyFill="1" applyBorder="1" applyAlignment="1">
      <alignment horizontal="center" vertical="center"/>
    </xf>
    <xf numFmtId="3" fontId="46" fillId="32" borderId="3" xfId="6" applyNumberFormat="1" applyFont="1" applyFill="1" applyBorder="1" applyAlignment="1">
      <alignment horizontal="center" vertical="center"/>
    </xf>
    <xf numFmtId="3" fontId="46" fillId="32" borderId="1" xfId="6" applyNumberFormat="1" applyFont="1" applyFill="1" applyBorder="1" applyAlignment="1">
      <alignment horizontal="center" vertical="center"/>
    </xf>
    <xf numFmtId="3" fontId="45" fillId="3" borderId="3" xfId="6" applyNumberFormat="1" applyFont="1" applyFill="1" applyBorder="1" applyAlignment="1">
      <alignment horizontal="center" vertical="center"/>
    </xf>
    <xf numFmtId="3" fontId="44" fillId="2" borderId="3" xfId="6" applyNumberFormat="1" applyFont="1" applyFill="1" applyBorder="1" applyAlignment="1">
      <alignment horizontal="center" vertical="center" wrapText="1"/>
    </xf>
    <xf numFmtId="3" fontId="45" fillId="0" borderId="1" xfId="6" applyNumberFormat="1" applyFont="1" applyBorder="1" applyAlignment="1">
      <alignment horizontal="center" vertical="center"/>
    </xf>
    <xf numFmtId="3" fontId="45" fillId="0" borderId="1" xfId="6" applyNumberFormat="1" applyFont="1" applyBorder="1" applyAlignment="1">
      <alignment horizontal="left" vertical="center" wrapText="1" indent="2"/>
    </xf>
    <xf numFmtId="3" fontId="43" fillId="0" borderId="1" xfId="6" applyNumberFormat="1" applyFont="1" applyBorder="1" applyAlignment="1">
      <alignment horizontal="left" vertical="center" wrapText="1"/>
    </xf>
    <xf numFmtId="3" fontId="44" fillId="32" borderId="1" xfId="6" applyNumberFormat="1" applyFont="1" applyFill="1" applyBorder="1" applyAlignment="1">
      <alignment horizontal="left" vertical="center" wrapText="1"/>
    </xf>
    <xf numFmtId="3" fontId="44" fillId="32" borderId="1" xfId="6" applyNumberFormat="1" applyFont="1" applyFill="1" applyBorder="1" applyAlignment="1">
      <alignment horizontal="center" vertical="center" wrapText="1"/>
    </xf>
    <xf numFmtId="3" fontId="44" fillId="32" borderId="1" xfId="0" applyNumberFormat="1" applyFont="1" applyFill="1" applyBorder="1" applyAlignment="1">
      <alignment horizontal="center" vertical="center"/>
    </xf>
    <xf numFmtId="3" fontId="46" fillId="32" borderId="1" xfId="0" applyNumberFormat="1" applyFont="1" applyFill="1" applyBorder="1" applyAlignment="1">
      <alignment horizontal="center" vertical="center"/>
    </xf>
    <xf numFmtId="4" fontId="43" fillId="0" borderId="1" xfId="6" applyNumberFormat="1" applyFont="1" applyBorder="1" applyAlignment="1" applyProtection="1">
      <alignment horizontal="right" vertical="center"/>
      <protection locked="0"/>
    </xf>
    <xf numFmtId="49" fontId="43" fillId="0" borderId="0" xfId="6" applyNumberFormat="1" applyFont="1" applyAlignment="1">
      <alignment horizontal="center" vertical="center"/>
    </xf>
    <xf numFmtId="3" fontId="43" fillId="0" borderId="0" xfId="6" applyNumberFormat="1" applyFont="1" applyAlignment="1">
      <alignment horizontal="left" vertical="center" wrapText="1"/>
    </xf>
    <xf numFmtId="3" fontId="43" fillId="0" borderId="0" xfId="6" applyNumberFormat="1" applyFont="1" applyAlignment="1">
      <alignment horizontal="right" vertical="center" wrapText="1"/>
    </xf>
    <xf numFmtId="3" fontId="43" fillId="0" borderId="0" xfId="0" applyNumberFormat="1" applyFont="1" applyAlignment="1">
      <alignment horizontal="right" vertical="center"/>
    </xf>
    <xf numFmtId="3" fontId="43" fillId="0" borderId="0" xfId="6" applyNumberFormat="1" applyFont="1" applyAlignment="1">
      <alignment horizontal="right" vertical="center"/>
    </xf>
    <xf numFmtId="3" fontId="45" fillId="0" borderId="0" xfId="0" applyNumberFormat="1" applyFont="1" applyAlignment="1">
      <alignment horizontal="center" vertical="center"/>
    </xf>
    <xf numFmtId="3" fontId="45" fillId="0" borderId="0" xfId="6" applyNumberFormat="1" applyFont="1" applyAlignment="1">
      <alignment horizontal="center" vertical="center"/>
    </xf>
    <xf numFmtId="0" fontId="43" fillId="0" borderId="0" xfId="0" applyFont="1" applyAlignment="1">
      <alignment vertical="center" wrapText="1"/>
    </xf>
    <xf numFmtId="0" fontId="43" fillId="0" borderId="0" xfId="0" applyFont="1" applyAlignment="1">
      <alignment horizontal="right" vertical="center"/>
    </xf>
    <xf numFmtId="0" fontId="45" fillId="0" borderId="0" xfId="0" applyFont="1" applyAlignment="1">
      <alignment horizontal="center" vertical="center"/>
    </xf>
    <xf numFmtId="3" fontId="43" fillId="0" borderId="1" xfId="6" applyNumberFormat="1" applyFont="1" applyFill="1" applyBorder="1" applyAlignment="1" applyProtection="1">
      <alignment horizontal="right" vertical="center" wrapText="1"/>
      <protection locked="0"/>
    </xf>
    <xf numFmtId="3" fontId="43" fillId="0" borderId="1" xfId="6" applyNumberFormat="1" applyFont="1" applyFill="1" applyBorder="1" applyAlignment="1" applyProtection="1">
      <alignment horizontal="right" vertical="center" wrapText="1"/>
      <protection locked="0"/>
    </xf>
    <xf numFmtId="3" fontId="43" fillId="0" borderId="1" xfId="6" applyNumberFormat="1" applyFont="1" applyFill="1" applyBorder="1" applyAlignment="1" applyProtection="1">
      <alignment horizontal="right" vertical="center" wrapText="1"/>
      <protection locked="0"/>
    </xf>
    <xf numFmtId="3" fontId="45" fillId="0" borderId="1" xfId="0" applyNumberFormat="1" applyFont="1" applyFill="1" applyBorder="1" applyAlignment="1" applyProtection="1">
      <alignment horizontal="left" vertical="center" wrapText="1"/>
      <protection locked="0"/>
    </xf>
    <xf numFmtId="9" fontId="45" fillId="3" borderId="1" xfId="6" applyNumberFormat="1" applyFont="1" applyFill="1" applyBorder="1" applyAlignment="1">
      <alignment horizontal="center" vertical="center"/>
    </xf>
    <xf numFmtId="3" fontId="56" fillId="0" borderId="1" xfId="6" applyNumberFormat="1" applyFont="1" applyFill="1" applyBorder="1" applyAlignment="1" applyProtection="1">
      <alignment horizontal="left" vertical="center" wrapText="1"/>
      <protection locked="0"/>
    </xf>
    <xf numFmtId="0" fontId="43" fillId="0" borderId="1" xfId="0" applyFont="1" applyFill="1" applyBorder="1" applyAlignment="1" applyProtection="1">
      <alignment horizontal="center" vertical="center" wrapText="1"/>
      <protection locked="0"/>
    </xf>
    <xf numFmtId="0" fontId="43" fillId="0" borderId="1" xfId="0" applyFont="1" applyFill="1" applyBorder="1" applyAlignment="1">
      <alignment horizontal="center" vertical="center" wrapText="1"/>
    </xf>
    <xf numFmtId="0" fontId="43" fillId="0" borderId="1" xfId="6" applyFont="1" applyFill="1" applyBorder="1" applyAlignment="1">
      <alignment horizontal="center" vertical="center"/>
    </xf>
    <xf numFmtId="0" fontId="43" fillId="0" borderId="2" xfId="0" applyFont="1" applyFill="1" applyBorder="1" applyAlignment="1">
      <alignment horizontal="center" vertical="center" wrapText="1"/>
    </xf>
    <xf numFmtId="3" fontId="43" fillId="0" borderId="6" xfId="6" applyNumberFormat="1" applyFont="1" applyFill="1" applyBorder="1" applyAlignment="1" applyProtection="1">
      <alignment horizontal="right" vertical="center" wrapText="1"/>
      <protection locked="0"/>
    </xf>
    <xf numFmtId="3" fontId="43" fillId="0" borderId="1" xfId="0" applyNumberFormat="1" applyFont="1" applyFill="1" applyBorder="1" applyAlignment="1" applyProtection="1">
      <alignment horizontal="right" vertical="center"/>
      <protection locked="0"/>
    </xf>
    <xf numFmtId="16" fontId="44" fillId="3" borderId="16" xfId="6" applyNumberFormat="1" applyFont="1" applyFill="1" applyBorder="1" applyAlignment="1" applyProtection="1">
      <alignment horizontal="left" vertical="center" wrapText="1"/>
    </xf>
    <xf numFmtId="3" fontId="43" fillId="0" borderId="1" xfId="0" applyNumberFormat="1" applyFont="1" applyFill="1" applyBorder="1" applyAlignment="1">
      <alignment horizontal="center" vertical="center" wrapText="1"/>
    </xf>
    <xf numFmtId="3" fontId="45" fillId="33" borderId="1" xfId="0" applyNumberFormat="1" applyFont="1" applyFill="1" applyBorder="1" applyAlignment="1" applyProtection="1">
      <alignment horizontal="left" vertical="center" wrapText="1"/>
      <protection locked="0"/>
    </xf>
    <xf numFmtId="3" fontId="46" fillId="33" borderId="1" xfId="0" applyNumberFormat="1" applyFont="1" applyFill="1" applyBorder="1" applyAlignment="1">
      <alignment horizontal="left" vertical="center" wrapText="1"/>
    </xf>
    <xf numFmtId="3" fontId="46" fillId="33" borderId="1" xfId="0" applyNumberFormat="1" applyFont="1" applyFill="1" applyBorder="1" applyAlignment="1" applyProtection="1">
      <alignment horizontal="left" vertical="center" wrapText="1"/>
      <protection locked="0"/>
    </xf>
    <xf numFmtId="0" fontId="43" fillId="0" borderId="0" xfId="6" applyFont="1"/>
    <xf numFmtId="0" fontId="43" fillId="0" borderId="1" xfId="6" applyFont="1" applyBorder="1" applyAlignment="1">
      <alignment horizontal="left" vertical="center" wrapText="1"/>
    </xf>
    <xf numFmtId="3" fontId="43" fillId="0" borderId="1" xfId="6" applyNumberFormat="1" applyFont="1" applyBorder="1" applyAlignment="1">
      <alignment horizontal="right" vertical="center" wrapText="1"/>
    </xf>
    <xf numFmtId="0" fontId="43" fillId="0" borderId="1" xfId="6" applyFont="1" applyBorder="1" applyAlignment="1" applyProtection="1">
      <alignment horizontal="center" vertical="center"/>
      <protection locked="0"/>
    </xf>
    <xf numFmtId="0" fontId="43" fillId="0" borderId="1" xfId="6" applyFont="1" applyBorder="1" applyAlignment="1" applyProtection="1">
      <alignment horizontal="left" vertical="center" wrapText="1"/>
      <protection locked="0"/>
    </xf>
    <xf numFmtId="0" fontId="43" fillId="0" borderId="0" xfId="6" applyFont="1" applyProtection="1">
      <protection locked="0"/>
    </xf>
    <xf numFmtId="0" fontId="43" fillId="7" borderId="1" xfId="0" applyFont="1" applyFill="1" applyBorder="1" applyAlignment="1">
      <alignment horizontal="center" vertical="center" wrapText="1"/>
    </xf>
    <xf numFmtId="0" fontId="43" fillId="7" borderId="1" xfId="0" applyFont="1" applyFill="1" applyBorder="1" applyAlignment="1">
      <alignment horizontal="left" vertical="center" wrapText="1"/>
    </xf>
    <xf numFmtId="0" fontId="43" fillId="7" borderId="10" xfId="0" applyFont="1" applyFill="1" applyBorder="1" applyAlignment="1">
      <alignment horizontal="center" vertical="center" wrapText="1"/>
    </xf>
    <xf numFmtId="0" fontId="43" fillId="7" borderId="10" xfId="0" applyFont="1" applyFill="1" applyBorder="1" applyAlignment="1">
      <alignment horizontal="left" vertical="center" wrapText="1"/>
    </xf>
    <xf numFmtId="0" fontId="43" fillId="7" borderId="11" xfId="0" applyFont="1" applyFill="1" applyBorder="1" applyAlignment="1">
      <alignment horizontal="center" vertical="center" wrapText="1"/>
    </xf>
    <xf numFmtId="0" fontId="43" fillId="7" borderId="11" xfId="0" applyFont="1" applyFill="1" applyBorder="1" applyAlignment="1">
      <alignment horizontal="left" vertical="center" wrapText="1"/>
    </xf>
    <xf numFmtId="0" fontId="43" fillId="4" borderId="10" xfId="0" applyFont="1" applyFill="1" applyBorder="1" applyAlignment="1">
      <alignment horizontal="center" vertical="center" wrapText="1"/>
    </xf>
    <xf numFmtId="0" fontId="43" fillId="4" borderId="10" xfId="0" applyFont="1" applyFill="1" applyBorder="1" applyAlignment="1">
      <alignment horizontal="left" vertical="center" wrapText="1"/>
    </xf>
    <xf numFmtId="3" fontId="43" fillId="4" borderId="1" xfId="6" applyNumberFormat="1" applyFont="1" applyFill="1" applyBorder="1" applyAlignment="1">
      <alignment horizontal="right" vertical="center" wrapText="1"/>
    </xf>
    <xf numFmtId="0" fontId="43" fillId="7" borderId="10" xfId="0" applyFont="1" applyFill="1" applyBorder="1" applyAlignment="1">
      <alignment horizontal="left" vertical="center" wrapText="1" indent="1"/>
    </xf>
    <xf numFmtId="3" fontId="44" fillId="2" borderId="1" xfId="6" applyNumberFormat="1" applyFont="1" applyFill="1" applyBorder="1" applyAlignment="1">
      <alignment horizontal="right"/>
    </xf>
    <xf numFmtId="0" fontId="55" fillId="0" borderId="0" xfId="0" applyFont="1" applyAlignment="1">
      <alignment horizontal="center" vertical="center" wrapText="1"/>
    </xf>
    <xf numFmtId="0" fontId="55" fillId="0" borderId="0" xfId="0" applyFont="1" applyAlignment="1">
      <alignment horizontal="left" vertical="center" wrapText="1"/>
    </xf>
    <xf numFmtId="3" fontId="43" fillId="0" borderId="0" xfId="6" applyNumberFormat="1" applyFont="1"/>
    <xf numFmtId="0" fontId="43" fillId="0" borderId="12" xfId="6" applyFont="1" applyBorder="1"/>
    <xf numFmtId="0" fontId="43" fillId="0" borderId="13" xfId="6" applyFont="1" applyBorder="1"/>
    <xf numFmtId="0" fontId="43" fillId="0" borderId="14" xfId="6" applyFont="1" applyBorder="1"/>
    <xf numFmtId="0" fontId="43" fillId="0" borderId="0" xfId="6" applyFont="1" applyAlignment="1">
      <alignment horizontal="left" vertical="center" wrapText="1"/>
    </xf>
    <xf numFmtId="3" fontId="45" fillId="0" borderId="1" xfId="6" applyNumberFormat="1" applyFont="1" applyFill="1" applyBorder="1" applyAlignment="1" applyProtection="1">
      <alignment horizontal="left" vertical="center"/>
      <protection locked="0"/>
    </xf>
    <xf numFmtId="1" fontId="44" fillId="2" borderId="1" xfId="6" applyNumberFormat="1" applyFont="1" applyFill="1" applyBorder="1" applyAlignment="1">
      <alignment horizontal="right" vertical="center" wrapText="1"/>
    </xf>
    <xf numFmtId="1" fontId="43" fillId="3" borderId="1" xfId="6" applyNumberFormat="1" applyFont="1" applyFill="1" applyBorder="1" applyAlignment="1" applyProtection="1">
      <alignment horizontal="right" vertical="center"/>
      <protection locked="0"/>
    </xf>
    <xf numFmtId="1" fontId="43" fillId="3" borderId="1" xfId="0" applyNumberFormat="1" applyFont="1" applyFill="1" applyBorder="1" applyAlignment="1" applyProtection="1">
      <alignment vertical="center"/>
      <protection locked="0"/>
    </xf>
    <xf numFmtId="1" fontId="43" fillId="3" borderId="1" xfId="6" applyNumberFormat="1" applyFont="1" applyFill="1" applyBorder="1" applyAlignment="1" applyProtection="1">
      <alignment vertical="center"/>
      <protection locked="0"/>
    </xf>
    <xf numFmtId="1" fontId="43" fillId="3" borderId="1" xfId="6" applyNumberFormat="1" applyFont="1" applyFill="1" applyBorder="1" applyAlignment="1" applyProtection="1">
      <alignment horizontal="right" vertical="center" wrapText="1"/>
      <protection locked="0"/>
    </xf>
    <xf numFmtId="3" fontId="45" fillId="0" borderId="1" xfId="0" applyNumberFormat="1" applyFont="1" applyFill="1" applyBorder="1" applyAlignment="1" applyProtection="1">
      <alignment horizontal="left" vertical="center"/>
      <protection locked="0"/>
    </xf>
    <xf numFmtId="1" fontId="44" fillId="2" borderId="1" xfId="0" applyNumberFormat="1" applyFont="1" applyFill="1" applyBorder="1" applyAlignment="1">
      <alignment horizontal="right" vertical="center" wrapText="1"/>
    </xf>
    <xf numFmtId="1" fontId="43" fillId="3" borderId="1" xfId="0" applyNumberFormat="1" applyFont="1" applyFill="1" applyBorder="1" applyAlignment="1" applyProtection="1">
      <alignment horizontal="right" vertical="center" wrapText="1"/>
      <protection locked="0"/>
    </xf>
    <xf numFmtId="1" fontId="43" fillId="0" borderId="1" xfId="0" applyNumberFormat="1" applyFont="1" applyBorder="1" applyAlignment="1" applyProtection="1">
      <alignment horizontal="right" vertical="center" wrapText="1"/>
      <protection locked="0"/>
    </xf>
    <xf numFmtId="1" fontId="44" fillId="2" borderId="1" xfId="0" applyNumberFormat="1" applyFont="1" applyFill="1" applyBorder="1" applyAlignment="1" applyProtection="1">
      <alignment horizontal="right" vertical="center" wrapText="1"/>
      <protection locked="0"/>
    </xf>
    <xf numFmtId="1" fontId="44" fillId="3" borderId="1" xfId="0" applyNumberFormat="1" applyFont="1" applyFill="1" applyBorder="1" applyAlignment="1" applyProtection="1">
      <alignment horizontal="right" vertical="center" wrapText="1"/>
      <protection locked="0"/>
    </xf>
    <xf numFmtId="1" fontId="44" fillId="3" borderId="1" xfId="1" applyNumberFormat="1" applyFont="1" applyFill="1" applyBorder="1" applyAlignment="1" applyProtection="1">
      <alignment horizontal="right" vertical="center" wrapText="1"/>
      <protection locked="0"/>
    </xf>
    <xf numFmtId="1" fontId="44" fillId="0" borderId="1" xfId="0" applyNumberFormat="1" applyFont="1" applyBorder="1" applyAlignment="1" applyProtection="1">
      <alignment horizontal="right" vertical="center" wrapText="1"/>
      <protection locked="0"/>
    </xf>
    <xf numFmtId="1" fontId="44" fillId="0" borderId="1" xfId="1" applyNumberFormat="1" applyFont="1" applyBorder="1" applyAlignment="1" applyProtection="1">
      <alignment horizontal="right" vertical="center" wrapText="1"/>
      <protection locked="0"/>
    </xf>
    <xf numFmtId="1" fontId="43" fillId="3" borderId="1" xfId="0" applyNumberFormat="1" applyFont="1" applyFill="1" applyBorder="1" applyAlignment="1">
      <alignment horizontal="right" vertical="center" wrapText="1"/>
    </xf>
    <xf numFmtId="1" fontId="50" fillId="3" borderId="1" xfId="0" applyNumberFormat="1" applyFont="1" applyFill="1" applyBorder="1" applyAlignment="1" applyProtection="1">
      <alignment horizontal="right" vertical="center" wrapText="1"/>
      <protection locked="0"/>
    </xf>
    <xf numFmtId="1" fontId="43" fillId="2" borderId="1" xfId="0" applyNumberFormat="1" applyFont="1" applyFill="1" applyBorder="1" applyAlignment="1">
      <alignment horizontal="right" vertical="center" wrapText="1"/>
    </xf>
    <xf numFmtId="1" fontId="48" fillId="2" borderId="1" xfId="0" applyNumberFormat="1" applyFont="1" applyFill="1" applyBorder="1" applyAlignment="1">
      <alignment horizontal="right" vertical="center" wrapText="1"/>
    </xf>
    <xf numFmtId="3" fontId="44" fillId="2" borderId="1" xfId="6" applyNumberFormat="1" applyFont="1" applyFill="1" applyBorder="1" applyAlignment="1">
      <alignment horizontal="right" vertical="center"/>
    </xf>
    <xf numFmtId="3" fontId="44" fillId="2" borderId="1" xfId="6" applyNumberFormat="1" applyFont="1" applyFill="1" applyBorder="1" applyAlignment="1" applyProtection="1">
      <alignment horizontal="right" vertical="center"/>
      <protection locked="0"/>
    </xf>
    <xf numFmtId="3" fontId="44" fillId="0" borderId="1" xfId="6" applyNumberFormat="1" applyFont="1" applyBorder="1" applyAlignment="1" applyProtection="1">
      <alignment horizontal="right" vertical="center"/>
      <protection locked="0"/>
    </xf>
    <xf numFmtId="3" fontId="44" fillId="6" borderId="1" xfId="6" applyNumberFormat="1" applyFont="1" applyFill="1" applyBorder="1" applyAlignment="1">
      <alignment horizontal="right" vertical="center"/>
    </xf>
    <xf numFmtId="3" fontId="44" fillId="6" borderId="1" xfId="0" applyNumberFormat="1" applyFont="1" applyFill="1" applyBorder="1" applyAlignment="1">
      <alignment horizontal="right" vertical="center"/>
    </xf>
    <xf numFmtId="3" fontId="44" fillId="0" borderId="1" xfId="0" applyNumberFormat="1" applyFont="1" applyBorder="1" applyAlignment="1" applyProtection="1">
      <alignment horizontal="right" vertical="center"/>
      <protection locked="0"/>
    </xf>
    <xf numFmtId="3" fontId="44" fillId="0" borderId="1" xfId="0" applyNumberFormat="1" applyFont="1" applyBorder="1" applyAlignment="1">
      <alignment horizontal="right" vertical="center"/>
    </xf>
    <xf numFmtId="3" fontId="44" fillId="2" borderId="1" xfId="0" applyNumberFormat="1" applyFont="1" applyFill="1" applyBorder="1" applyAlignment="1">
      <alignment horizontal="right" vertical="center"/>
    </xf>
    <xf numFmtId="3" fontId="43" fillId="0" borderId="1" xfId="0" applyNumberFormat="1" applyFont="1" applyBorder="1" applyAlignment="1">
      <alignment horizontal="right" vertical="center"/>
    </xf>
    <xf numFmtId="3" fontId="43" fillId="0" borderId="1" xfId="6" applyNumberFormat="1" applyFont="1" applyBorder="1" applyAlignment="1">
      <alignment horizontal="right" vertical="center"/>
    </xf>
    <xf numFmtId="3" fontId="43" fillId="0" borderId="1" xfId="6" applyNumberFormat="1" applyFont="1" applyBorder="1" applyAlignment="1" applyProtection="1">
      <alignment vertical="center"/>
      <protection locked="0"/>
    </xf>
    <xf numFmtId="3" fontId="44" fillId="0" borderId="0" xfId="6" applyNumberFormat="1" applyFont="1" applyAlignment="1" applyProtection="1">
      <alignment horizontal="right" vertical="center"/>
      <protection locked="0"/>
    </xf>
    <xf numFmtId="3" fontId="44" fillId="6" borderId="4" xfId="6" applyNumberFormat="1" applyFont="1" applyFill="1" applyBorder="1" applyAlignment="1">
      <alignment horizontal="right" vertical="center" wrapText="1"/>
    </xf>
    <xf numFmtId="3" fontId="44" fillId="6" borderId="6" xfId="6" applyNumberFormat="1" applyFont="1" applyFill="1" applyBorder="1" applyAlignment="1">
      <alignment horizontal="right" vertical="center" wrapText="1"/>
    </xf>
    <xf numFmtId="3" fontId="50" fillId="0" borderId="1" xfId="1467" applyNumberFormat="1" applyFont="1" applyBorder="1" applyAlignment="1" applyProtection="1">
      <alignment horizontal="center" vertical="center"/>
      <protection locked="0"/>
    </xf>
    <xf numFmtId="3" fontId="49" fillId="6" borderId="1" xfId="1467" applyNumberFormat="1" applyFont="1" applyFill="1" applyBorder="1" applyAlignment="1">
      <alignment horizontal="center" vertical="center"/>
    </xf>
    <xf numFmtId="3" fontId="49" fillId="0" borderId="0" xfId="1467" applyNumberFormat="1" applyFont="1" applyAlignment="1">
      <alignment horizontal="center" vertical="center"/>
    </xf>
    <xf numFmtId="0" fontId="42" fillId="0" borderId="0" xfId="1467" applyFont="1" applyAlignment="1">
      <alignment vertical="center"/>
    </xf>
    <xf numFmtId="0" fontId="50" fillId="0" borderId="0" xfId="1467" applyFont="1" applyAlignment="1" applyProtection="1">
      <alignment vertical="center"/>
      <protection locked="0"/>
    </xf>
    <xf numFmtId="3" fontId="44" fillId="2" borderId="1" xfId="1" applyNumberFormat="1" applyFont="1" applyFill="1" applyBorder="1" applyAlignment="1">
      <alignment horizontal="right" vertical="center"/>
    </xf>
    <xf numFmtId="3" fontId="43" fillId="0" borderId="1" xfId="1" applyNumberFormat="1" applyFont="1" applyBorder="1" applyAlignment="1" applyProtection="1">
      <alignment horizontal="right" vertical="center"/>
      <protection locked="0"/>
    </xf>
    <xf numFmtId="3" fontId="43" fillId="2" borderId="1" xfId="1" applyNumberFormat="1" applyFont="1" applyFill="1" applyBorder="1" applyAlignment="1">
      <alignment horizontal="right" vertical="center"/>
    </xf>
    <xf numFmtId="3" fontId="44" fillId="2" borderId="1" xfId="1" applyNumberFormat="1" applyFont="1" applyFill="1" applyBorder="1" applyAlignment="1" applyProtection="1">
      <alignment horizontal="right" vertical="center"/>
      <protection locked="0"/>
    </xf>
    <xf numFmtId="3" fontId="43" fillId="3" borderId="1" xfId="1" applyNumberFormat="1" applyFont="1" applyFill="1" applyBorder="1" applyAlignment="1" applyProtection="1">
      <alignment horizontal="right" vertical="center"/>
      <protection locked="0"/>
    </xf>
    <xf numFmtId="3" fontId="44" fillId="0" borderId="0" xfId="1" applyNumberFormat="1" applyFont="1" applyAlignment="1">
      <alignment horizontal="right" vertical="center"/>
    </xf>
    <xf numFmtId="3" fontId="45" fillId="34" borderId="1" xfId="0" applyNumberFormat="1" applyFont="1" applyFill="1" applyBorder="1" applyAlignment="1" applyProtection="1">
      <alignment horizontal="left" vertical="center" wrapText="1"/>
      <protection locked="0"/>
    </xf>
    <xf numFmtId="4" fontId="45" fillId="34" borderId="1" xfId="0" applyNumberFormat="1" applyFont="1" applyFill="1" applyBorder="1" applyAlignment="1" applyProtection="1">
      <alignment horizontal="left" vertical="center"/>
      <protection locked="0"/>
    </xf>
    <xf numFmtId="4" fontId="43" fillId="0" borderId="1" xfId="0" applyNumberFormat="1" applyFont="1" applyFill="1" applyBorder="1" applyAlignment="1" applyProtection="1">
      <alignment horizontal="right" vertical="center"/>
      <protection locked="0"/>
    </xf>
    <xf numFmtId="3" fontId="45" fillId="34" borderId="1" xfId="6" applyNumberFormat="1" applyFont="1" applyFill="1" applyBorder="1" applyAlignment="1" applyProtection="1">
      <alignment horizontal="left" vertical="center" wrapText="1"/>
      <protection locked="0"/>
    </xf>
    <xf numFmtId="0" fontId="50" fillId="0" borderId="1" xfId="1467" applyFont="1" applyBorder="1" applyAlignment="1">
      <alignment horizontal="center" vertical="center"/>
    </xf>
    <xf numFmtId="0" fontId="50" fillId="0" borderId="1" xfId="1467" applyFont="1" applyBorder="1" applyAlignment="1">
      <alignment vertical="center" wrapText="1"/>
    </xf>
    <xf numFmtId="0" fontId="49" fillId="6" borderId="1" xfId="1467" applyFont="1" applyFill="1" applyBorder="1" applyAlignment="1">
      <alignment horizontal="center" vertical="center"/>
    </xf>
    <xf numFmtId="0" fontId="49" fillId="6" borderId="1" xfId="1467" applyFont="1" applyFill="1" applyBorder="1" applyAlignment="1">
      <alignment vertical="center" wrapText="1"/>
    </xf>
    <xf numFmtId="0" fontId="50" fillId="0" borderId="0" xfId="1467" applyFont="1" applyAlignment="1">
      <alignment horizontal="center" vertical="center"/>
    </xf>
    <xf numFmtId="0" fontId="50" fillId="0" borderId="0" xfId="1467" applyFont="1" applyAlignment="1">
      <alignment vertical="center"/>
    </xf>
    <xf numFmtId="0" fontId="43" fillId="0" borderId="1" xfId="1467" applyFont="1" applyBorder="1" applyAlignment="1">
      <alignment horizontal="center" vertical="center"/>
    </xf>
    <xf numFmtId="0" fontId="43" fillId="0" borderId="0" xfId="0" applyFont="1"/>
    <xf numFmtId="3" fontId="43" fillId="2" borderId="1" xfId="6" applyNumberFormat="1" applyFont="1" applyFill="1" applyBorder="1" applyAlignment="1">
      <alignment horizontal="left" vertical="center" wrapText="1"/>
    </xf>
    <xf numFmtId="3" fontId="44" fillId="2" borderId="1" xfId="1" applyNumberFormat="1" applyFont="1" applyFill="1" applyBorder="1" applyAlignment="1">
      <alignment vertical="center"/>
    </xf>
    <xf numFmtId="3" fontId="43" fillId="0" borderId="1" xfId="1" applyNumberFormat="1" applyFont="1" applyBorder="1" applyAlignment="1" applyProtection="1">
      <alignment vertical="center"/>
      <protection locked="0"/>
    </xf>
    <xf numFmtId="3" fontId="43" fillId="0" borderId="0" xfId="0" applyNumberFormat="1" applyFont="1" applyProtection="1">
      <protection locked="0"/>
    </xf>
    <xf numFmtId="3" fontId="43" fillId="2" borderId="1" xfId="6" applyNumberFormat="1" applyFont="1" applyFill="1" applyBorder="1" applyAlignment="1">
      <alignment vertical="center" wrapText="1"/>
    </xf>
    <xf numFmtId="3" fontId="43" fillId="2" borderId="1" xfId="1" applyNumberFormat="1" applyFont="1" applyFill="1" applyBorder="1" applyAlignment="1">
      <alignment vertical="center"/>
    </xf>
    <xf numFmtId="3" fontId="44" fillId="2" borderId="1" xfId="6" applyNumberFormat="1" applyFont="1" applyFill="1" applyBorder="1" applyAlignment="1">
      <alignment horizontal="left" vertical="center" wrapText="1"/>
    </xf>
    <xf numFmtId="0" fontId="44" fillId="2" borderId="1" xfId="6" applyFont="1" applyFill="1" applyBorder="1" applyAlignment="1">
      <alignment horizontal="left" vertical="center" wrapText="1"/>
    </xf>
    <xf numFmtId="3" fontId="44" fillId="2" borderId="1" xfId="6" applyNumberFormat="1" applyFont="1" applyFill="1" applyBorder="1" applyAlignment="1">
      <alignment vertical="center"/>
    </xf>
    <xf numFmtId="3" fontId="57" fillId="34" borderId="1" xfId="0" applyNumberFormat="1" applyFont="1" applyFill="1" applyBorder="1" applyAlignment="1" applyProtection="1">
      <alignment horizontal="left" vertical="center" wrapText="1"/>
      <protection locked="0"/>
    </xf>
    <xf numFmtId="3" fontId="45" fillId="0" borderId="1" xfId="0" applyNumberFormat="1" applyFont="1" applyBorder="1" applyAlignment="1" applyProtection="1">
      <alignment horizontal="left" vertical="center" wrapText="1"/>
      <protection locked="0"/>
    </xf>
    <xf numFmtId="3" fontId="45" fillId="3" borderId="1" xfId="0" applyNumberFormat="1" applyFont="1" applyFill="1" applyBorder="1" applyAlignment="1" applyProtection="1">
      <alignment horizontal="left" vertical="center" wrapText="1"/>
      <protection locked="0"/>
    </xf>
    <xf numFmtId="3" fontId="46" fillId="3" borderId="1" xfId="0" applyNumberFormat="1" applyFont="1" applyFill="1" applyBorder="1" applyAlignment="1" applyProtection="1">
      <alignment horizontal="left" vertical="center" wrapText="1"/>
      <protection locked="0"/>
    </xf>
    <xf numFmtId="3" fontId="46" fillId="2" borderId="1" xfId="0" applyNumberFormat="1" applyFont="1" applyFill="1" applyBorder="1" applyAlignment="1">
      <alignment horizontal="left" vertical="center" wrapText="1"/>
    </xf>
    <xf numFmtId="3" fontId="45" fillId="34" borderId="1" xfId="0" applyNumberFormat="1" applyFont="1" applyFill="1" applyBorder="1" applyAlignment="1">
      <alignment horizontal="left" vertical="center" wrapText="1"/>
    </xf>
    <xf numFmtId="3" fontId="45" fillId="3" borderId="1" xfId="6" applyNumberFormat="1" applyFont="1" applyFill="1" applyBorder="1" applyAlignment="1" applyProtection="1">
      <alignment horizontal="left" vertical="center"/>
      <protection locked="0"/>
    </xf>
    <xf numFmtId="3" fontId="45" fillId="3" borderId="1" xfId="0" applyNumberFormat="1" applyFont="1" applyFill="1" applyBorder="1" applyAlignment="1" applyProtection="1">
      <alignment horizontal="left" vertical="center"/>
      <protection locked="0"/>
    </xf>
    <xf numFmtId="3" fontId="46" fillId="2" borderId="1" xfId="6" applyNumberFormat="1" applyFont="1" applyFill="1" applyBorder="1" applyAlignment="1" applyProtection="1">
      <alignment horizontal="left" vertical="center" wrapText="1"/>
      <protection locked="0"/>
    </xf>
    <xf numFmtId="3" fontId="46" fillId="2" borderId="1" xfId="6" applyNumberFormat="1" applyFont="1" applyFill="1" applyBorder="1" applyAlignment="1" applyProtection="1">
      <alignment horizontal="center" vertical="center" wrapText="1"/>
      <protection locked="0"/>
    </xf>
    <xf numFmtId="3" fontId="45" fillId="0" borderId="1" xfId="0" applyNumberFormat="1" applyFont="1" applyFill="1" applyBorder="1" applyAlignment="1" applyProtection="1">
      <alignment horizontal="left" vertical="center" wrapText="1"/>
      <protection locked="0"/>
    </xf>
    <xf numFmtId="3" fontId="45" fillId="0" borderId="1" xfId="6" applyNumberFormat="1" applyFont="1" applyFill="1" applyBorder="1" applyAlignment="1" applyProtection="1">
      <alignment horizontal="left" vertical="center"/>
      <protection locked="0"/>
    </xf>
    <xf numFmtId="3" fontId="44" fillId="35" borderId="1" xfId="6" applyNumberFormat="1" applyFont="1" applyFill="1" applyBorder="1" applyAlignment="1">
      <alignment horizontal="right" vertical="center" wrapText="1"/>
    </xf>
    <xf numFmtId="1" fontId="44" fillId="35" borderId="1" xfId="6" applyNumberFormat="1" applyFont="1" applyFill="1" applyBorder="1" applyAlignment="1">
      <alignment horizontal="right" vertical="center" wrapText="1"/>
    </xf>
    <xf numFmtId="3" fontId="46" fillId="35" borderId="1" xfId="6" applyNumberFormat="1" applyFont="1" applyFill="1" applyBorder="1" applyAlignment="1">
      <alignment horizontal="center" vertical="center" wrapText="1"/>
    </xf>
    <xf numFmtId="166" fontId="46" fillId="35" borderId="1" xfId="12" applyNumberFormat="1" applyFont="1" applyFill="1" applyBorder="1" applyAlignment="1">
      <alignment horizontal="center" vertical="center" wrapText="1"/>
    </xf>
    <xf numFmtId="3" fontId="45" fillId="34" borderId="1" xfId="6" applyNumberFormat="1" applyFont="1" applyFill="1" applyBorder="1" applyAlignment="1" applyProtection="1">
      <alignment horizontal="left" vertical="center"/>
      <protection locked="0"/>
    </xf>
    <xf numFmtId="3" fontId="43" fillId="0" borderId="0" xfId="0" applyNumberFormat="1" applyFont="1" applyAlignment="1">
      <alignment horizontal="left" vertical="center" wrapText="1"/>
    </xf>
    <xf numFmtId="0" fontId="43" fillId="0" borderId="0" xfId="0" applyFont="1" applyAlignment="1" applyProtection="1">
      <alignment horizontal="left" vertical="center" wrapText="1"/>
    </xf>
    <xf numFmtId="0" fontId="43" fillId="0" borderId="0" xfId="0" applyFont="1" applyAlignment="1">
      <alignment horizontal="left" vertical="center" wrapText="1"/>
    </xf>
    <xf numFmtId="0" fontId="43" fillId="0" borderId="0" xfId="1467" applyFont="1" applyAlignment="1">
      <alignment horizontal="left" vertical="center" wrapText="1"/>
    </xf>
    <xf numFmtId="0" fontId="44" fillId="3" borderId="5" xfId="1" applyFont="1" applyFill="1" applyBorder="1" applyAlignment="1" applyProtection="1">
      <alignment horizontal="center" vertical="center"/>
      <protection locked="0"/>
    </xf>
    <xf numFmtId="0" fontId="44" fillId="3" borderId="16" xfId="1" applyFont="1" applyFill="1" applyBorder="1" applyAlignment="1" applyProtection="1">
      <alignment horizontal="center" vertical="center"/>
      <protection locked="0"/>
    </xf>
    <xf numFmtId="0" fontId="43" fillId="3" borderId="5" xfId="1" applyFont="1" applyFill="1" applyBorder="1" applyAlignment="1" applyProtection="1">
      <alignment horizontal="center" vertical="center"/>
      <protection locked="0"/>
    </xf>
    <xf numFmtId="0" fontId="43" fillId="3" borderId="16" xfId="1" applyFont="1" applyFill="1" applyBorder="1" applyAlignment="1" applyProtection="1">
      <alignment horizontal="center" vertical="center"/>
      <protection locked="0"/>
    </xf>
    <xf numFmtId="0" fontId="43" fillId="0" borderId="14" xfId="6" applyFont="1" applyBorder="1" applyAlignment="1">
      <alignment horizontal="left" vertical="center" wrapText="1"/>
    </xf>
    <xf numFmtId="0" fontId="43" fillId="0" borderId="0" xfId="6" applyFont="1" applyAlignment="1">
      <alignment horizontal="left" vertical="center" wrapText="1"/>
    </xf>
    <xf numFmtId="0" fontId="43" fillId="0" borderId="14" xfId="6" applyFont="1" applyBorder="1" applyAlignment="1">
      <alignment horizontal="left" vertical="center"/>
    </xf>
    <xf numFmtId="0" fontId="43" fillId="0" borderId="0" xfId="6" applyFont="1" applyAlignment="1">
      <alignment horizontal="left" vertical="center"/>
    </xf>
    <xf numFmtId="0" fontId="43" fillId="0" borderId="15" xfId="6" applyFont="1" applyBorder="1" applyAlignment="1">
      <alignment horizontal="left" vertical="center" wrapText="1"/>
    </xf>
  </cellXfs>
  <cellStyles count="1534">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0] 2 2" xfId="1473" xr:uid="{00000000-0005-0000-0000-00008F030000}"/>
    <cellStyle name="Comma [0] 2 2 2" xfId="1517" xr:uid="{00000000-0005-0000-0000-000090030000}"/>
    <cellStyle name="Comma [0] 2 3" xfId="1495" xr:uid="{00000000-0005-0000-0000-000091030000}"/>
    <cellStyle name="Comma 2" xfId="924" xr:uid="{00000000-0005-0000-0000-000092030000}"/>
    <cellStyle name="Comma 2 2" xfId="925" xr:uid="{00000000-0005-0000-0000-000093030000}"/>
    <cellStyle name="Comma 2 3" xfId="926" xr:uid="{00000000-0005-0000-0000-000094030000}"/>
    <cellStyle name="Comma 2 4" xfId="927" xr:uid="{00000000-0005-0000-0000-000095030000}"/>
    <cellStyle name="Comma 2 4 2" xfId="928" xr:uid="{00000000-0005-0000-0000-000096030000}"/>
    <cellStyle name="Comma 2 5" xfId="929" xr:uid="{00000000-0005-0000-0000-000097030000}"/>
    <cellStyle name="Comma 2 5 2" xfId="930" xr:uid="{00000000-0005-0000-0000-000098030000}"/>
    <cellStyle name="Comma 2 6" xfId="931" xr:uid="{00000000-0005-0000-0000-000099030000}"/>
    <cellStyle name="Comma 2 7" xfId="932" xr:uid="{00000000-0005-0000-0000-00009A030000}"/>
    <cellStyle name="Comma 3" xfId="933" xr:uid="{00000000-0005-0000-0000-00009B030000}"/>
    <cellStyle name="Comma 3 2" xfId="934" xr:uid="{00000000-0005-0000-0000-00009C030000}"/>
    <cellStyle name="Comma 3 2 2" xfId="1475" xr:uid="{00000000-0005-0000-0000-00009D030000}"/>
    <cellStyle name="Comma 3 2 2 2" xfId="1519" xr:uid="{00000000-0005-0000-0000-00009E030000}"/>
    <cellStyle name="Comma 3 2 3" xfId="1497" xr:uid="{00000000-0005-0000-0000-00009F030000}"/>
    <cellStyle name="Comma 3 3" xfId="1474" xr:uid="{00000000-0005-0000-0000-0000A0030000}"/>
    <cellStyle name="Comma 3 3 2" xfId="1518" xr:uid="{00000000-0005-0000-0000-0000A1030000}"/>
    <cellStyle name="Comma 3 4" xfId="1496" xr:uid="{00000000-0005-0000-0000-0000A2030000}"/>
    <cellStyle name="Comma 4" xfId="9" xr:uid="{00000000-0005-0000-0000-0000A3030000}"/>
    <cellStyle name="Comma 4 2" xfId="936" xr:uid="{00000000-0005-0000-0000-0000A4030000}"/>
    <cellStyle name="Comma 4 2 2" xfId="1477" xr:uid="{00000000-0005-0000-0000-0000A5030000}"/>
    <cellStyle name="Comma 4 2 2 2" xfId="1521" xr:uid="{00000000-0005-0000-0000-0000A6030000}"/>
    <cellStyle name="Comma 4 2 3" xfId="1499" xr:uid="{00000000-0005-0000-0000-0000A7030000}"/>
    <cellStyle name="Comma 4 3" xfId="935" xr:uid="{00000000-0005-0000-0000-0000A8030000}"/>
    <cellStyle name="Comma 4 3 2" xfId="1476" xr:uid="{00000000-0005-0000-0000-0000A9030000}"/>
    <cellStyle name="Comma 4 3 2 2" xfId="1520" xr:uid="{00000000-0005-0000-0000-0000AA030000}"/>
    <cellStyle name="Comma 4 3 3" xfId="1498" xr:uid="{00000000-0005-0000-0000-0000AB030000}"/>
    <cellStyle name="Comma 4 4" xfId="1472" xr:uid="{00000000-0005-0000-0000-0000AC030000}"/>
    <cellStyle name="Comma 4 4 2" xfId="1516" xr:uid="{00000000-0005-0000-0000-0000AD030000}"/>
    <cellStyle name="Comma 4 5" xfId="1494" xr:uid="{00000000-0005-0000-0000-0000AE030000}"/>
    <cellStyle name="Comma 5" xfId="1465" xr:uid="{00000000-0005-0000-0000-0000AF030000}"/>
    <cellStyle name="Comma 5 2" xfId="1489" xr:uid="{00000000-0005-0000-0000-0000B0030000}"/>
    <cellStyle name="Comma 5 2 2" xfId="1533" xr:uid="{00000000-0005-0000-0000-0000B1030000}"/>
    <cellStyle name="Comma 5 3" xfId="1511" xr:uid="{00000000-0005-0000-0000-0000B2030000}"/>
    <cellStyle name="Comma 6" xfId="1459" xr:uid="{00000000-0005-0000-0000-0000B3030000}"/>
    <cellStyle name="Comma 6 2" xfId="1484" xr:uid="{00000000-0005-0000-0000-0000B4030000}"/>
    <cellStyle name="Comma 6 2 2" xfId="1528" xr:uid="{00000000-0005-0000-0000-0000B5030000}"/>
    <cellStyle name="Comma 6 3" xfId="1506" xr:uid="{00000000-0005-0000-0000-0000B6030000}"/>
    <cellStyle name="Currency 2" xfId="1464" xr:uid="{00000000-0005-0000-0000-0000B7030000}"/>
    <cellStyle name="Currency 2 2" xfId="1488" xr:uid="{00000000-0005-0000-0000-0000B8030000}"/>
    <cellStyle name="Currency 2 2 2" xfId="1532" xr:uid="{00000000-0005-0000-0000-0000B9030000}"/>
    <cellStyle name="Currency 2 3" xfId="1510" xr:uid="{00000000-0005-0000-0000-0000BA030000}"/>
    <cellStyle name="Currency 3" xfId="1463" xr:uid="{00000000-0005-0000-0000-0000BB030000}"/>
    <cellStyle name="Currency 3 2" xfId="1487" xr:uid="{00000000-0005-0000-0000-0000BC030000}"/>
    <cellStyle name="Currency 3 2 2" xfId="1531" xr:uid="{00000000-0005-0000-0000-0000BD030000}"/>
    <cellStyle name="Currency 3 3" xfId="1509" xr:uid="{00000000-0005-0000-0000-0000BE030000}"/>
    <cellStyle name="Currency 4" xfId="1460" xr:uid="{00000000-0005-0000-0000-0000BF030000}"/>
    <cellStyle name="Explanatory Text 10" xfId="937" xr:uid="{00000000-0005-0000-0000-0000C0030000}"/>
    <cellStyle name="Explanatory Text 11" xfId="938" xr:uid="{00000000-0005-0000-0000-0000C1030000}"/>
    <cellStyle name="Explanatory Text 12" xfId="939" xr:uid="{00000000-0005-0000-0000-0000C2030000}"/>
    <cellStyle name="Explanatory Text 13" xfId="940" xr:uid="{00000000-0005-0000-0000-0000C3030000}"/>
    <cellStyle name="Explanatory Text 14" xfId="941" xr:uid="{00000000-0005-0000-0000-0000C4030000}"/>
    <cellStyle name="Explanatory Text 15" xfId="942" xr:uid="{00000000-0005-0000-0000-0000C5030000}"/>
    <cellStyle name="Explanatory Text 16" xfId="943" xr:uid="{00000000-0005-0000-0000-0000C6030000}"/>
    <cellStyle name="Explanatory Text 2" xfId="944" xr:uid="{00000000-0005-0000-0000-0000C7030000}"/>
    <cellStyle name="Explanatory Text 3" xfId="945" xr:uid="{00000000-0005-0000-0000-0000C8030000}"/>
    <cellStyle name="Explanatory Text 4" xfId="946" xr:uid="{00000000-0005-0000-0000-0000C9030000}"/>
    <cellStyle name="Explanatory Text 5" xfId="947" xr:uid="{00000000-0005-0000-0000-0000CA030000}"/>
    <cellStyle name="Explanatory Text 6" xfId="948" xr:uid="{00000000-0005-0000-0000-0000CB030000}"/>
    <cellStyle name="Explanatory Text 7" xfId="949" xr:uid="{00000000-0005-0000-0000-0000CC030000}"/>
    <cellStyle name="Explanatory Text 8" xfId="950" xr:uid="{00000000-0005-0000-0000-0000CD030000}"/>
    <cellStyle name="Explanatory Text 9" xfId="951" xr:uid="{00000000-0005-0000-0000-0000CE030000}"/>
    <cellStyle name="Good 10" xfId="952" xr:uid="{00000000-0005-0000-0000-0000CF030000}"/>
    <cellStyle name="Good 11" xfId="953" xr:uid="{00000000-0005-0000-0000-0000D0030000}"/>
    <cellStyle name="Good 12" xfId="954" xr:uid="{00000000-0005-0000-0000-0000D1030000}"/>
    <cellStyle name="Good 13" xfId="955" xr:uid="{00000000-0005-0000-0000-0000D2030000}"/>
    <cellStyle name="Good 14" xfId="956" xr:uid="{00000000-0005-0000-0000-0000D3030000}"/>
    <cellStyle name="Good 15" xfId="957" xr:uid="{00000000-0005-0000-0000-0000D4030000}"/>
    <cellStyle name="Good 16" xfId="958" xr:uid="{00000000-0005-0000-0000-0000D5030000}"/>
    <cellStyle name="Good 2" xfId="959" xr:uid="{00000000-0005-0000-0000-0000D6030000}"/>
    <cellStyle name="Good 3" xfId="960" xr:uid="{00000000-0005-0000-0000-0000D7030000}"/>
    <cellStyle name="Good 4" xfId="961" xr:uid="{00000000-0005-0000-0000-0000D8030000}"/>
    <cellStyle name="Good 5" xfId="962" xr:uid="{00000000-0005-0000-0000-0000D9030000}"/>
    <cellStyle name="Good 6" xfId="963" xr:uid="{00000000-0005-0000-0000-0000DA030000}"/>
    <cellStyle name="Good 7" xfId="964" xr:uid="{00000000-0005-0000-0000-0000DB030000}"/>
    <cellStyle name="Good 8" xfId="965" xr:uid="{00000000-0005-0000-0000-0000DC030000}"/>
    <cellStyle name="Good 9" xfId="966" xr:uid="{00000000-0005-0000-0000-0000DD030000}"/>
    <cellStyle name="Heading 1 10" xfId="967" xr:uid="{00000000-0005-0000-0000-0000DE030000}"/>
    <cellStyle name="Heading 1 11" xfId="968" xr:uid="{00000000-0005-0000-0000-0000DF030000}"/>
    <cellStyle name="Heading 1 12" xfId="969" xr:uid="{00000000-0005-0000-0000-0000E0030000}"/>
    <cellStyle name="Heading 1 13" xfId="970" xr:uid="{00000000-0005-0000-0000-0000E1030000}"/>
    <cellStyle name="Heading 1 14" xfId="971" xr:uid="{00000000-0005-0000-0000-0000E2030000}"/>
    <cellStyle name="Heading 1 15" xfId="972" xr:uid="{00000000-0005-0000-0000-0000E3030000}"/>
    <cellStyle name="Heading 1 16" xfId="973" xr:uid="{00000000-0005-0000-0000-0000E4030000}"/>
    <cellStyle name="Heading 1 2" xfId="974" xr:uid="{00000000-0005-0000-0000-0000E5030000}"/>
    <cellStyle name="Heading 1 3" xfId="975" xr:uid="{00000000-0005-0000-0000-0000E6030000}"/>
    <cellStyle name="Heading 1 4" xfId="976" xr:uid="{00000000-0005-0000-0000-0000E7030000}"/>
    <cellStyle name="Heading 1 5" xfId="977" xr:uid="{00000000-0005-0000-0000-0000E8030000}"/>
    <cellStyle name="Heading 1 6" xfId="978" xr:uid="{00000000-0005-0000-0000-0000E9030000}"/>
    <cellStyle name="Heading 1 7" xfId="979" xr:uid="{00000000-0005-0000-0000-0000EA030000}"/>
    <cellStyle name="Heading 1 8" xfId="980" xr:uid="{00000000-0005-0000-0000-0000EB030000}"/>
    <cellStyle name="Heading 1 9" xfId="981" xr:uid="{00000000-0005-0000-0000-0000EC030000}"/>
    <cellStyle name="Heading 2 10" xfId="982" xr:uid="{00000000-0005-0000-0000-0000ED030000}"/>
    <cellStyle name="Heading 2 11" xfId="983" xr:uid="{00000000-0005-0000-0000-0000EE030000}"/>
    <cellStyle name="Heading 2 12" xfId="984" xr:uid="{00000000-0005-0000-0000-0000EF030000}"/>
    <cellStyle name="Heading 2 13" xfId="985" xr:uid="{00000000-0005-0000-0000-0000F0030000}"/>
    <cellStyle name="Heading 2 14" xfId="986" xr:uid="{00000000-0005-0000-0000-0000F1030000}"/>
    <cellStyle name="Heading 2 15" xfId="987" xr:uid="{00000000-0005-0000-0000-0000F2030000}"/>
    <cellStyle name="Heading 2 16" xfId="988" xr:uid="{00000000-0005-0000-0000-0000F3030000}"/>
    <cellStyle name="Heading 2 2" xfId="989" xr:uid="{00000000-0005-0000-0000-0000F4030000}"/>
    <cellStyle name="Heading 2 3" xfId="990" xr:uid="{00000000-0005-0000-0000-0000F5030000}"/>
    <cellStyle name="Heading 2 4" xfId="991" xr:uid="{00000000-0005-0000-0000-0000F6030000}"/>
    <cellStyle name="Heading 2 5" xfId="992" xr:uid="{00000000-0005-0000-0000-0000F7030000}"/>
    <cellStyle name="Heading 2 6" xfId="993" xr:uid="{00000000-0005-0000-0000-0000F8030000}"/>
    <cellStyle name="Heading 2 7" xfId="994" xr:uid="{00000000-0005-0000-0000-0000F9030000}"/>
    <cellStyle name="Heading 2 8" xfId="995" xr:uid="{00000000-0005-0000-0000-0000FA030000}"/>
    <cellStyle name="Heading 2 9" xfId="996" xr:uid="{00000000-0005-0000-0000-0000FB030000}"/>
    <cellStyle name="Heading 3 10" xfId="997" xr:uid="{00000000-0005-0000-0000-0000FC030000}"/>
    <cellStyle name="Heading 3 11" xfId="998" xr:uid="{00000000-0005-0000-0000-0000FD030000}"/>
    <cellStyle name="Heading 3 12" xfId="999" xr:uid="{00000000-0005-0000-0000-0000FE030000}"/>
    <cellStyle name="Heading 3 13" xfId="1000" xr:uid="{00000000-0005-0000-0000-0000FF030000}"/>
    <cellStyle name="Heading 3 14" xfId="1001" xr:uid="{00000000-0005-0000-0000-000000040000}"/>
    <cellStyle name="Heading 3 15" xfId="1002" xr:uid="{00000000-0005-0000-0000-000001040000}"/>
    <cellStyle name="Heading 3 16" xfId="1003" xr:uid="{00000000-0005-0000-0000-000002040000}"/>
    <cellStyle name="Heading 3 2" xfId="1004" xr:uid="{00000000-0005-0000-0000-000003040000}"/>
    <cellStyle name="Heading 3 3" xfId="1005" xr:uid="{00000000-0005-0000-0000-000004040000}"/>
    <cellStyle name="Heading 3 4" xfId="1006" xr:uid="{00000000-0005-0000-0000-000005040000}"/>
    <cellStyle name="Heading 3 5" xfId="1007" xr:uid="{00000000-0005-0000-0000-000006040000}"/>
    <cellStyle name="Heading 3 6" xfId="1008" xr:uid="{00000000-0005-0000-0000-000007040000}"/>
    <cellStyle name="Heading 3 7" xfId="1009" xr:uid="{00000000-0005-0000-0000-000008040000}"/>
    <cellStyle name="Heading 3 8" xfId="1010" xr:uid="{00000000-0005-0000-0000-000009040000}"/>
    <cellStyle name="Heading 3 9" xfId="1011" xr:uid="{00000000-0005-0000-0000-00000A040000}"/>
    <cellStyle name="Heading 4 10" xfId="1012" xr:uid="{00000000-0005-0000-0000-00000B040000}"/>
    <cellStyle name="Heading 4 11" xfId="1013" xr:uid="{00000000-0005-0000-0000-00000C040000}"/>
    <cellStyle name="Heading 4 12" xfId="1014" xr:uid="{00000000-0005-0000-0000-00000D040000}"/>
    <cellStyle name="Heading 4 13" xfId="1015" xr:uid="{00000000-0005-0000-0000-00000E040000}"/>
    <cellStyle name="Heading 4 14" xfId="1016" xr:uid="{00000000-0005-0000-0000-00000F040000}"/>
    <cellStyle name="Heading 4 15" xfId="1017" xr:uid="{00000000-0005-0000-0000-000010040000}"/>
    <cellStyle name="Heading 4 16" xfId="1018" xr:uid="{00000000-0005-0000-0000-000011040000}"/>
    <cellStyle name="Heading 4 2" xfId="1019" xr:uid="{00000000-0005-0000-0000-000012040000}"/>
    <cellStyle name="Heading 4 3" xfId="1020" xr:uid="{00000000-0005-0000-0000-000013040000}"/>
    <cellStyle name="Heading 4 4" xfId="1021" xr:uid="{00000000-0005-0000-0000-000014040000}"/>
    <cellStyle name="Heading 4 5" xfId="1022" xr:uid="{00000000-0005-0000-0000-000015040000}"/>
    <cellStyle name="Heading 4 6" xfId="1023" xr:uid="{00000000-0005-0000-0000-000016040000}"/>
    <cellStyle name="Heading 4 7" xfId="1024" xr:uid="{00000000-0005-0000-0000-000017040000}"/>
    <cellStyle name="Heading 4 8" xfId="1025" xr:uid="{00000000-0005-0000-0000-000018040000}"/>
    <cellStyle name="Heading 4 9" xfId="1026" xr:uid="{00000000-0005-0000-0000-000019040000}"/>
    <cellStyle name="Hyperlink 2" xfId="1027" xr:uid="{00000000-0005-0000-0000-00001A040000}"/>
    <cellStyle name="Hyperlink 3" xfId="1028" xr:uid="{00000000-0005-0000-0000-00001B040000}"/>
    <cellStyle name="Input 10" xfId="1029" xr:uid="{00000000-0005-0000-0000-00001C040000}"/>
    <cellStyle name="Input 11" xfId="1030" xr:uid="{00000000-0005-0000-0000-00001D040000}"/>
    <cellStyle name="Input 12" xfId="1031" xr:uid="{00000000-0005-0000-0000-00001E040000}"/>
    <cellStyle name="Input 13" xfId="1032" xr:uid="{00000000-0005-0000-0000-00001F040000}"/>
    <cellStyle name="Input 14" xfId="1033" xr:uid="{00000000-0005-0000-0000-000020040000}"/>
    <cellStyle name="Input 15" xfId="1034" xr:uid="{00000000-0005-0000-0000-000021040000}"/>
    <cellStyle name="Input 16" xfId="1035" xr:uid="{00000000-0005-0000-0000-000022040000}"/>
    <cellStyle name="Input 2" xfId="1036" xr:uid="{00000000-0005-0000-0000-000023040000}"/>
    <cellStyle name="Input 3" xfId="1037" xr:uid="{00000000-0005-0000-0000-000024040000}"/>
    <cellStyle name="Input 4" xfId="1038" xr:uid="{00000000-0005-0000-0000-000025040000}"/>
    <cellStyle name="Input 5" xfId="1039" xr:uid="{00000000-0005-0000-0000-000026040000}"/>
    <cellStyle name="Input 6" xfId="1040" xr:uid="{00000000-0005-0000-0000-000027040000}"/>
    <cellStyle name="Input 7" xfId="1041" xr:uid="{00000000-0005-0000-0000-000028040000}"/>
    <cellStyle name="Input 8" xfId="1042" xr:uid="{00000000-0005-0000-0000-000029040000}"/>
    <cellStyle name="Input 9" xfId="1043" xr:uid="{00000000-0005-0000-0000-00002A040000}"/>
    <cellStyle name="Linked Cell 10" xfId="1044" xr:uid="{00000000-0005-0000-0000-00002B040000}"/>
    <cellStyle name="Linked Cell 11" xfId="1045" xr:uid="{00000000-0005-0000-0000-00002C040000}"/>
    <cellStyle name="Linked Cell 12" xfId="1046" xr:uid="{00000000-0005-0000-0000-00002D040000}"/>
    <cellStyle name="Linked Cell 13" xfId="1047" xr:uid="{00000000-0005-0000-0000-00002E040000}"/>
    <cellStyle name="Linked Cell 14" xfId="1048" xr:uid="{00000000-0005-0000-0000-00002F040000}"/>
    <cellStyle name="Linked Cell 15" xfId="1049" xr:uid="{00000000-0005-0000-0000-000030040000}"/>
    <cellStyle name="Linked Cell 16" xfId="1050" xr:uid="{00000000-0005-0000-0000-000031040000}"/>
    <cellStyle name="Linked Cell 2" xfId="1051" xr:uid="{00000000-0005-0000-0000-000032040000}"/>
    <cellStyle name="Linked Cell 3" xfId="1052" xr:uid="{00000000-0005-0000-0000-000033040000}"/>
    <cellStyle name="Linked Cell 4" xfId="1053" xr:uid="{00000000-0005-0000-0000-000034040000}"/>
    <cellStyle name="Linked Cell 5" xfId="1054" xr:uid="{00000000-0005-0000-0000-000035040000}"/>
    <cellStyle name="Linked Cell 6" xfId="1055" xr:uid="{00000000-0005-0000-0000-000036040000}"/>
    <cellStyle name="Linked Cell 7" xfId="1056" xr:uid="{00000000-0005-0000-0000-000037040000}"/>
    <cellStyle name="Linked Cell 8" xfId="1057" xr:uid="{00000000-0005-0000-0000-000038040000}"/>
    <cellStyle name="Linked Cell 9" xfId="1058" xr:uid="{00000000-0005-0000-0000-000039040000}"/>
    <cellStyle name="Neutral 10" xfId="1059" xr:uid="{00000000-0005-0000-0000-00003A040000}"/>
    <cellStyle name="Neutral 11" xfId="1060" xr:uid="{00000000-0005-0000-0000-00003B040000}"/>
    <cellStyle name="Neutral 12" xfId="1061" xr:uid="{00000000-0005-0000-0000-00003C040000}"/>
    <cellStyle name="Neutral 13" xfId="1062" xr:uid="{00000000-0005-0000-0000-00003D040000}"/>
    <cellStyle name="Neutral 14" xfId="1063" xr:uid="{00000000-0005-0000-0000-00003E040000}"/>
    <cellStyle name="Neutral 15" xfId="1064" xr:uid="{00000000-0005-0000-0000-00003F040000}"/>
    <cellStyle name="Neutral 16" xfId="1065" xr:uid="{00000000-0005-0000-0000-000040040000}"/>
    <cellStyle name="Neutral 2" xfId="1066" xr:uid="{00000000-0005-0000-0000-000041040000}"/>
    <cellStyle name="Neutral 3" xfId="1067" xr:uid="{00000000-0005-0000-0000-000042040000}"/>
    <cellStyle name="Neutral 4" xfId="1068" xr:uid="{00000000-0005-0000-0000-000043040000}"/>
    <cellStyle name="Neutral 5" xfId="1069" xr:uid="{00000000-0005-0000-0000-000044040000}"/>
    <cellStyle name="Neutral 6" xfId="1070" xr:uid="{00000000-0005-0000-0000-000045040000}"/>
    <cellStyle name="Neutral 7" xfId="1071" xr:uid="{00000000-0005-0000-0000-000046040000}"/>
    <cellStyle name="Neutral 8" xfId="1072" xr:uid="{00000000-0005-0000-0000-000047040000}"/>
    <cellStyle name="Neutral 9" xfId="1073" xr:uid="{00000000-0005-0000-0000-000048040000}"/>
    <cellStyle name="Normal 10" xfId="1074" xr:uid="{00000000-0005-0000-0000-00004A040000}"/>
    <cellStyle name="Normal 10 2" xfId="1" xr:uid="{00000000-0005-0000-0000-00004B040000}"/>
    <cellStyle name="Normal 10 2 2" xfId="1075" xr:uid="{00000000-0005-0000-0000-00004C040000}"/>
    <cellStyle name="Normal 10 3" xfId="1076" xr:uid="{00000000-0005-0000-0000-00004D040000}"/>
    <cellStyle name="Normal 10 4" xfId="1077" xr:uid="{00000000-0005-0000-0000-00004E040000}"/>
    <cellStyle name="Normal 10 5" xfId="1078" xr:uid="{00000000-0005-0000-0000-00004F040000}"/>
    <cellStyle name="Normal 10 5 2" xfId="1079" xr:uid="{00000000-0005-0000-0000-000050040000}"/>
    <cellStyle name="Normal 10 5 2 2" xfId="1080" xr:uid="{00000000-0005-0000-0000-000051040000}"/>
    <cellStyle name="Normal 10 5 3" xfId="1081" xr:uid="{00000000-0005-0000-0000-000052040000}"/>
    <cellStyle name="Normal 10 6" xfId="1082" xr:uid="{00000000-0005-0000-0000-000053040000}"/>
    <cellStyle name="Normal 10 6 2" xfId="1083" xr:uid="{00000000-0005-0000-0000-000054040000}"/>
    <cellStyle name="Normal 10 7" xfId="1084" xr:uid="{00000000-0005-0000-0000-000055040000}"/>
    <cellStyle name="Normal 11" xfId="1085" xr:uid="{00000000-0005-0000-0000-000056040000}"/>
    <cellStyle name="Normal 12" xfId="1086" xr:uid="{00000000-0005-0000-0000-000057040000}"/>
    <cellStyle name="Normal 12 2" xfId="1087" xr:uid="{00000000-0005-0000-0000-000058040000}"/>
    <cellStyle name="Normal 12 2 2" xfId="1088" xr:uid="{00000000-0005-0000-0000-000059040000}"/>
    <cellStyle name="Normal 13" xfId="2" xr:uid="{00000000-0005-0000-0000-00005A040000}"/>
    <cellStyle name="Normal 14" xfId="1089" xr:uid="{00000000-0005-0000-0000-00005B040000}"/>
    <cellStyle name="Normal 14 2" xfId="1090" xr:uid="{00000000-0005-0000-0000-00005C040000}"/>
    <cellStyle name="Normal 15" xfId="1091" xr:uid="{00000000-0005-0000-0000-00005D040000}"/>
    <cellStyle name="Normal 16" xfId="1092" xr:uid="{00000000-0005-0000-0000-00005E040000}"/>
    <cellStyle name="Normal 17" xfId="1093" xr:uid="{00000000-0005-0000-0000-00005F040000}"/>
    <cellStyle name="Normal 18" xfId="1094" xr:uid="{00000000-0005-0000-0000-000060040000}"/>
    <cellStyle name="Normal 19" xfId="1095" xr:uid="{00000000-0005-0000-0000-000061040000}"/>
    <cellStyle name="Normal 2" xfId="1096" xr:uid="{00000000-0005-0000-0000-000062040000}"/>
    <cellStyle name="Normal 2 10" xfId="4" xr:uid="{00000000-0005-0000-0000-000063040000}"/>
    <cellStyle name="Normal 2 10 2" xfId="1098" xr:uid="{00000000-0005-0000-0000-000064040000}"/>
    <cellStyle name="Normal 2 10 3" xfId="1099" xr:uid="{00000000-0005-0000-0000-000065040000}"/>
    <cellStyle name="Normal 2 10 4" xfId="1100" xr:uid="{00000000-0005-0000-0000-000066040000}"/>
    <cellStyle name="Normal 2 10 5" xfId="1097" xr:uid="{00000000-0005-0000-0000-000067040000}"/>
    <cellStyle name="Normal 2 10 5 2" xfId="1478" xr:uid="{00000000-0005-0000-0000-000068040000}"/>
    <cellStyle name="Normal 2 10 5 2 2" xfId="1522" xr:uid="{00000000-0005-0000-0000-000069040000}"/>
    <cellStyle name="Normal 2 10 5 3" xfId="1500" xr:uid="{00000000-0005-0000-0000-00006A040000}"/>
    <cellStyle name="Normal 2 10 6" xfId="1469" xr:uid="{00000000-0005-0000-0000-00006B040000}"/>
    <cellStyle name="Normal 2 10 6 2" xfId="1513" xr:uid="{00000000-0005-0000-0000-00006C040000}"/>
    <cellStyle name="Normal 2 10 7" xfId="1491" xr:uid="{00000000-0005-0000-0000-00006D040000}"/>
    <cellStyle name="Normal 2 10 9" xfId="3" xr:uid="{00000000-0005-0000-0000-00006E040000}"/>
    <cellStyle name="Normal 2 10 9 2" xfId="1102" xr:uid="{00000000-0005-0000-0000-00006F040000}"/>
    <cellStyle name="Normal 2 10 9 3" xfId="1101" xr:uid="{00000000-0005-0000-0000-000070040000}"/>
    <cellStyle name="Normal 2 10 9 3 2" xfId="1479" xr:uid="{00000000-0005-0000-0000-000071040000}"/>
    <cellStyle name="Normal 2 10 9 3 2 2" xfId="1523" xr:uid="{00000000-0005-0000-0000-000072040000}"/>
    <cellStyle name="Normal 2 10 9 3 3" xfId="1501" xr:uid="{00000000-0005-0000-0000-000073040000}"/>
    <cellStyle name="Normal 2 10 9 4" xfId="1468" xr:uid="{00000000-0005-0000-0000-000074040000}"/>
    <cellStyle name="Normal 2 10 9 4 2" xfId="1512" xr:uid="{00000000-0005-0000-0000-000075040000}"/>
    <cellStyle name="Normal 2 10 9 5" xfId="1490" xr:uid="{00000000-0005-0000-0000-000076040000}"/>
    <cellStyle name="Normal 2 11" xfId="1103" xr:uid="{00000000-0005-0000-0000-000077040000}"/>
    <cellStyle name="Normal 2 11 2" xfId="1104" xr:uid="{00000000-0005-0000-0000-000078040000}"/>
    <cellStyle name="Normal 2 12" xfId="1105" xr:uid="{00000000-0005-0000-0000-000079040000}"/>
    <cellStyle name="Normal 2 13" xfId="1106" xr:uid="{00000000-0005-0000-0000-00007A040000}"/>
    <cellStyle name="Normal 2 13 10" xfId="1107" xr:uid="{00000000-0005-0000-0000-00007B040000}"/>
    <cellStyle name="Normal 2 13 11" xfId="1108" xr:uid="{00000000-0005-0000-0000-00007C040000}"/>
    <cellStyle name="Normal 2 13 12" xfId="1109" xr:uid="{00000000-0005-0000-0000-00007D040000}"/>
    <cellStyle name="Normal 2 13 13" xfId="1110" xr:uid="{00000000-0005-0000-0000-00007E040000}"/>
    <cellStyle name="Normal 2 13 2" xfId="1111" xr:uid="{00000000-0005-0000-0000-00007F040000}"/>
    <cellStyle name="Normal 2 13 2 10" xfId="1112" xr:uid="{00000000-0005-0000-0000-000080040000}"/>
    <cellStyle name="Normal 2 13 2 11" xfId="1113" xr:uid="{00000000-0005-0000-0000-000081040000}"/>
    <cellStyle name="Normal 2 13 2 12" xfId="1114" xr:uid="{00000000-0005-0000-0000-000082040000}"/>
    <cellStyle name="Normal 2 13 2 13" xfId="1115" xr:uid="{00000000-0005-0000-0000-000083040000}"/>
    <cellStyle name="Normal 2 13 2 2" xfId="1116" xr:uid="{00000000-0005-0000-0000-000084040000}"/>
    <cellStyle name="Normal 2 13 2 3" xfId="1117" xr:uid="{00000000-0005-0000-0000-000085040000}"/>
    <cellStyle name="Normal 2 13 2 4" xfId="1118" xr:uid="{00000000-0005-0000-0000-000086040000}"/>
    <cellStyle name="Normal 2 13 2 5" xfId="1119" xr:uid="{00000000-0005-0000-0000-000087040000}"/>
    <cellStyle name="Normal 2 13 2 6" xfId="1120" xr:uid="{00000000-0005-0000-0000-000088040000}"/>
    <cellStyle name="Normal 2 13 2 7" xfId="1121" xr:uid="{00000000-0005-0000-0000-000089040000}"/>
    <cellStyle name="Normal 2 13 2 8" xfId="1122" xr:uid="{00000000-0005-0000-0000-00008A040000}"/>
    <cellStyle name="Normal 2 13 2 9" xfId="1123" xr:uid="{00000000-0005-0000-0000-00008B040000}"/>
    <cellStyle name="Normal 2 13 3" xfId="1124" xr:uid="{00000000-0005-0000-0000-00008C040000}"/>
    <cellStyle name="Normal 2 13 4" xfId="1125" xr:uid="{00000000-0005-0000-0000-00008D040000}"/>
    <cellStyle name="Normal 2 13 5" xfId="1126" xr:uid="{00000000-0005-0000-0000-00008E040000}"/>
    <cellStyle name="Normal 2 13 6" xfId="1127" xr:uid="{00000000-0005-0000-0000-00008F040000}"/>
    <cellStyle name="Normal 2 13 7" xfId="1128" xr:uid="{00000000-0005-0000-0000-000090040000}"/>
    <cellStyle name="Normal 2 13 8" xfId="1129" xr:uid="{00000000-0005-0000-0000-000091040000}"/>
    <cellStyle name="Normal 2 13 9" xfId="1130" xr:uid="{00000000-0005-0000-0000-000092040000}"/>
    <cellStyle name="Normal 2 14" xfId="1131" xr:uid="{00000000-0005-0000-0000-000093040000}"/>
    <cellStyle name="Normal 2 15" xfId="1132" xr:uid="{00000000-0005-0000-0000-000094040000}"/>
    <cellStyle name="Normal 2 16" xfId="1133" xr:uid="{00000000-0005-0000-0000-000095040000}"/>
    <cellStyle name="Normal 2 17" xfId="1134" xr:uid="{00000000-0005-0000-0000-000096040000}"/>
    <cellStyle name="Normal 2 18" xfId="1135" xr:uid="{00000000-0005-0000-0000-000097040000}"/>
    <cellStyle name="Normal 2 19" xfId="1136" xr:uid="{00000000-0005-0000-0000-000098040000}"/>
    <cellStyle name="Normal 2 2" xfId="1137" xr:uid="{00000000-0005-0000-0000-000099040000}"/>
    <cellStyle name="Normal 2 2 10" xfId="1138" xr:uid="{00000000-0005-0000-0000-00009A040000}"/>
    <cellStyle name="Normal 2 2 10 2" xfId="1139" xr:uid="{00000000-0005-0000-0000-00009B040000}"/>
    <cellStyle name="Normal 2 2 11" xfId="1140" xr:uid="{00000000-0005-0000-0000-00009C040000}"/>
    <cellStyle name="Normal 2 2 11 2" xfId="1141" xr:uid="{00000000-0005-0000-0000-00009D040000}"/>
    <cellStyle name="Normal 2 2 12" xfId="1142" xr:uid="{00000000-0005-0000-0000-00009E040000}"/>
    <cellStyle name="Normal 2 2 12 2" xfId="1143" xr:uid="{00000000-0005-0000-0000-00009F040000}"/>
    <cellStyle name="Normal 2 2 13" xfId="1144" xr:uid="{00000000-0005-0000-0000-0000A0040000}"/>
    <cellStyle name="Normal 2 2 13 2" xfId="1145" xr:uid="{00000000-0005-0000-0000-0000A1040000}"/>
    <cellStyle name="Normal 2 2 14" xfId="1146" xr:uid="{00000000-0005-0000-0000-0000A2040000}"/>
    <cellStyle name="Normal 2 2 14 2" xfId="1147" xr:uid="{00000000-0005-0000-0000-0000A3040000}"/>
    <cellStyle name="Normal 2 2 15" xfId="1148" xr:uid="{00000000-0005-0000-0000-0000A4040000}"/>
    <cellStyle name="Normal 2 2 15 2" xfId="1149" xr:uid="{00000000-0005-0000-0000-0000A5040000}"/>
    <cellStyle name="Normal 2 2 16" xfId="1150" xr:uid="{00000000-0005-0000-0000-0000A6040000}"/>
    <cellStyle name="Normal 2 2 16 2" xfId="1151" xr:uid="{00000000-0005-0000-0000-0000A7040000}"/>
    <cellStyle name="Normal 2 2 17" xfId="1152" xr:uid="{00000000-0005-0000-0000-0000A8040000}"/>
    <cellStyle name="Normal 2 2 17 2" xfId="1153" xr:uid="{00000000-0005-0000-0000-0000A9040000}"/>
    <cellStyle name="Normal 2 2 18" xfId="1154" xr:uid="{00000000-0005-0000-0000-0000AA040000}"/>
    <cellStyle name="Normal 2 2 18 2" xfId="1155" xr:uid="{00000000-0005-0000-0000-0000AB040000}"/>
    <cellStyle name="Normal 2 2 19" xfId="1156" xr:uid="{00000000-0005-0000-0000-0000AC040000}"/>
    <cellStyle name="Normal 2 2 19 2" xfId="1157" xr:uid="{00000000-0005-0000-0000-0000AD040000}"/>
    <cellStyle name="Normal 2 2 2" xfId="1158" xr:uid="{00000000-0005-0000-0000-0000AE040000}"/>
    <cellStyle name="Normal 2 2 2 2" xfId="1159" xr:uid="{00000000-0005-0000-0000-0000AF040000}"/>
    <cellStyle name="Normal 2 2 20" xfId="1160" xr:uid="{00000000-0005-0000-0000-0000B0040000}"/>
    <cellStyle name="Normal 2 2 21" xfId="1161" xr:uid="{00000000-0005-0000-0000-0000B1040000}"/>
    <cellStyle name="Normal 2 2 22" xfId="1162" xr:uid="{00000000-0005-0000-0000-0000B2040000}"/>
    <cellStyle name="Normal 2 2 3" xfId="6" xr:uid="{00000000-0005-0000-0000-0000B3040000}"/>
    <cellStyle name="Normal 2 2 4" xfId="1163" xr:uid="{00000000-0005-0000-0000-0000B4040000}"/>
    <cellStyle name="Normal 2 2 4 10" xfId="1164" xr:uid="{00000000-0005-0000-0000-0000B5040000}"/>
    <cellStyle name="Normal 2 2 4 11" xfId="1165" xr:uid="{00000000-0005-0000-0000-0000B6040000}"/>
    <cellStyle name="Normal 2 2 4 12" xfId="1166" xr:uid="{00000000-0005-0000-0000-0000B7040000}"/>
    <cellStyle name="Normal 2 2 4 13" xfId="1167" xr:uid="{00000000-0005-0000-0000-0000B8040000}"/>
    <cellStyle name="Normal 2 2 4 14" xfId="1168" xr:uid="{00000000-0005-0000-0000-0000B9040000}"/>
    <cellStyle name="Normal 2 2 4 2" xfId="1169" xr:uid="{00000000-0005-0000-0000-0000BA040000}"/>
    <cellStyle name="Normal 2 2 4 2 10" xfId="1170" xr:uid="{00000000-0005-0000-0000-0000BB040000}"/>
    <cellStyle name="Normal 2 2 4 2 10 2" xfId="1171" xr:uid="{00000000-0005-0000-0000-0000BC040000}"/>
    <cellStyle name="Normal 2 2 4 2 11" xfId="1172" xr:uid="{00000000-0005-0000-0000-0000BD040000}"/>
    <cellStyle name="Normal 2 2 4 2 11 2" xfId="1173" xr:uid="{00000000-0005-0000-0000-0000BE040000}"/>
    <cellStyle name="Normal 2 2 4 2 12" xfId="1174" xr:uid="{00000000-0005-0000-0000-0000BF040000}"/>
    <cellStyle name="Normal 2 2 4 2 12 2" xfId="1175" xr:uid="{00000000-0005-0000-0000-0000C0040000}"/>
    <cellStyle name="Normal 2 2 4 2 13" xfId="1176" xr:uid="{00000000-0005-0000-0000-0000C1040000}"/>
    <cellStyle name="Normal 2 2 4 2 13 2" xfId="1177" xr:uid="{00000000-0005-0000-0000-0000C2040000}"/>
    <cellStyle name="Normal 2 2 4 2 2" xfId="1178" xr:uid="{00000000-0005-0000-0000-0000C3040000}"/>
    <cellStyle name="Normal 2 2 4 2 2 2" xfId="1179" xr:uid="{00000000-0005-0000-0000-0000C4040000}"/>
    <cellStyle name="Normal 2 2 4 2 3" xfId="1180" xr:uid="{00000000-0005-0000-0000-0000C5040000}"/>
    <cellStyle name="Normal 2 2 4 2 3 2" xfId="1181" xr:uid="{00000000-0005-0000-0000-0000C6040000}"/>
    <cellStyle name="Normal 2 2 4 2 4" xfId="1182" xr:uid="{00000000-0005-0000-0000-0000C7040000}"/>
    <cellStyle name="Normal 2 2 4 2 4 2" xfId="1183" xr:uid="{00000000-0005-0000-0000-0000C8040000}"/>
    <cellStyle name="Normal 2 2 4 2 5" xfId="1184" xr:uid="{00000000-0005-0000-0000-0000C9040000}"/>
    <cellStyle name="Normal 2 2 4 2 5 2" xfId="1185" xr:uid="{00000000-0005-0000-0000-0000CA040000}"/>
    <cellStyle name="Normal 2 2 4 2 6" xfId="1186" xr:uid="{00000000-0005-0000-0000-0000CB040000}"/>
    <cellStyle name="Normal 2 2 4 2 6 2" xfId="1187" xr:uid="{00000000-0005-0000-0000-0000CC040000}"/>
    <cellStyle name="Normal 2 2 4 2 7" xfId="1188" xr:uid="{00000000-0005-0000-0000-0000CD040000}"/>
    <cellStyle name="Normal 2 2 4 2 7 2" xfId="1189" xr:uid="{00000000-0005-0000-0000-0000CE040000}"/>
    <cellStyle name="Normal 2 2 4 2 8" xfId="1190" xr:uid="{00000000-0005-0000-0000-0000CF040000}"/>
    <cellStyle name="Normal 2 2 4 2 8 2" xfId="1191" xr:uid="{00000000-0005-0000-0000-0000D0040000}"/>
    <cellStyle name="Normal 2 2 4 2 9" xfId="1192" xr:uid="{00000000-0005-0000-0000-0000D1040000}"/>
    <cellStyle name="Normal 2 2 4 2 9 2" xfId="1193" xr:uid="{00000000-0005-0000-0000-0000D2040000}"/>
    <cellStyle name="Normal 2 2 4 3" xfId="1194" xr:uid="{00000000-0005-0000-0000-0000D3040000}"/>
    <cellStyle name="Normal 2 2 4 4" xfId="1195" xr:uid="{00000000-0005-0000-0000-0000D4040000}"/>
    <cellStyle name="Normal 2 2 4 5" xfId="1196" xr:uid="{00000000-0005-0000-0000-0000D5040000}"/>
    <cellStyle name="Normal 2 2 4 6" xfId="1197" xr:uid="{00000000-0005-0000-0000-0000D6040000}"/>
    <cellStyle name="Normal 2 2 4 7" xfId="1198" xr:uid="{00000000-0005-0000-0000-0000D7040000}"/>
    <cellStyle name="Normal 2 2 4 8" xfId="1199" xr:uid="{00000000-0005-0000-0000-0000D8040000}"/>
    <cellStyle name="Normal 2 2 4 9" xfId="1200" xr:uid="{00000000-0005-0000-0000-0000D9040000}"/>
    <cellStyle name="Normal 2 2 5" xfId="1201" xr:uid="{00000000-0005-0000-0000-0000DA040000}"/>
    <cellStyle name="Normal 2 2 5 2" xfId="1202" xr:uid="{00000000-0005-0000-0000-0000DB040000}"/>
    <cellStyle name="Normal 2 2 6" xfId="1203" xr:uid="{00000000-0005-0000-0000-0000DC040000}"/>
    <cellStyle name="Normal 2 2 6 2" xfId="1204" xr:uid="{00000000-0005-0000-0000-0000DD040000}"/>
    <cellStyle name="Normal 2 2 7" xfId="1205" xr:uid="{00000000-0005-0000-0000-0000DE040000}"/>
    <cellStyle name="Normal 2 2 7 2" xfId="1206" xr:uid="{00000000-0005-0000-0000-0000DF040000}"/>
    <cellStyle name="Normal 2 2 8" xfId="1207" xr:uid="{00000000-0005-0000-0000-0000E0040000}"/>
    <cellStyle name="Normal 2 2 8 2" xfId="1208" xr:uid="{00000000-0005-0000-0000-0000E1040000}"/>
    <cellStyle name="Normal 2 2 8 2 2" xfId="1209" xr:uid="{00000000-0005-0000-0000-0000E2040000}"/>
    <cellStyle name="Normal 2 2 8 3" xfId="1210" xr:uid="{00000000-0005-0000-0000-0000E3040000}"/>
    <cellStyle name="Normal 2 2 9" xfId="1211" xr:uid="{00000000-0005-0000-0000-0000E4040000}"/>
    <cellStyle name="Normal 2 2 9 2" xfId="1212" xr:uid="{00000000-0005-0000-0000-0000E5040000}"/>
    <cellStyle name="Normal 2 20" xfId="1213" xr:uid="{00000000-0005-0000-0000-0000E6040000}"/>
    <cellStyle name="Normal 2 21" xfId="1214" xr:uid="{00000000-0005-0000-0000-0000E7040000}"/>
    <cellStyle name="Normal 2 22" xfId="1215" xr:uid="{00000000-0005-0000-0000-0000E8040000}"/>
    <cellStyle name="Normal 2 23" xfId="1216" xr:uid="{00000000-0005-0000-0000-0000E9040000}"/>
    <cellStyle name="Normal 2 24" xfId="1217" xr:uid="{00000000-0005-0000-0000-0000EA040000}"/>
    <cellStyle name="Normal 2 25" xfId="1218" xr:uid="{00000000-0005-0000-0000-0000EB040000}"/>
    <cellStyle name="Normal 2 26" xfId="1219" xr:uid="{00000000-0005-0000-0000-0000EC040000}"/>
    <cellStyle name="Normal 2 27" xfId="1220" xr:uid="{00000000-0005-0000-0000-0000ED040000}"/>
    <cellStyle name="Normal 2 28" xfId="1221" xr:uid="{00000000-0005-0000-0000-0000EE040000}"/>
    <cellStyle name="Normal 2 3" xfId="1222" xr:uid="{00000000-0005-0000-0000-0000EF040000}"/>
    <cellStyle name="Normal 2 3 2" xfId="1223" xr:uid="{00000000-0005-0000-0000-0000F0040000}"/>
    <cellStyle name="Normal 2 4" xfId="10" xr:uid="{00000000-0005-0000-0000-0000F1040000}"/>
    <cellStyle name="Normal 2 5" xfId="1224" xr:uid="{00000000-0005-0000-0000-0000F2040000}"/>
    <cellStyle name="Normal 2 6" xfId="1225" xr:uid="{00000000-0005-0000-0000-0000F3040000}"/>
    <cellStyle name="Normal 2 7" xfId="1226" xr:uid="{00000000-0005-0000-0000-0000F4040000}"/>
    <cellStyle name="Normal 2 7 2" xfId="1227" xr:uid="{00000000-0005-0000-0000-0000F5040000}"/>
    <cellStyle name="Normal 2 8" xfId="1228" xr:uid="{00000000-0005-0000-0000-0000F6040000}"/>
    <cellStyle name="Normal 2 8 2" xfId="1229" xr:uid="{00000000-0005-0000-0000-0000F7040000}"/>
    <cellStyle name="Normal 2 9" xfId="1230" xr:uid="{00000000-0005-0000-0000-0000F8040000}"/>
    <cellStyle name="Normal 2 9 2" xfId="1231" xr:uid="{00000000-0005-0000-0000-0000F9040000}"/>
    <cellStyle name="Normal 2_2210_2220_2230_2240_2250_2260" xfId="1232" xr:uid="{00000000-0005-0000-0000-0000FA040000}"/>
    <cellStyle name="Normal 20" xfId="1233" xr:uid="{00000000-0005-0000-0000-0000FB040000}"/>
    <cellStyle name="Normal 21" xfId="1234" xr:uid="{00000000-0005-0000-0000-0000FC040000}"/>
    <cellStyle name="Normal 22" xfId="1235" xr:uid="{00000000-0005-0000-0000-0000FD040000}"/>
    <cellStyle name="Normal 23" xfId="1236" xr:uid="{00000000-0005-0000-0000-0000FE040000}"/>
    <cellStyle name="Normal 24" xfId="1237" xr:uid="{00000000-0005-0000-0000-0000FF040000}"/>
    <cellStyle name="Normal 25" xfId="1238" xr:uid="{00000000-0005-0000-0000-000000050000}"/>
    <cellStyle name="Normal 26" xfId="8" xr:uid="{00000000-0005-0000-0000-000001050000}"/>
    <cellStyle name="Normal 26 2" xfId="1240" xr:uid="{00000000-0005-0000-0000-000002050000}"/>
    <cellStyle name="Normal 26 2 2" xfId="1481" xr:uid="{00000000-0005-0000-0000-000003050000}"/>
    <cellStyle name="Normal 26 2 2 2" xfId="1525" xr:uid="{00000000-0005-0000-0000-000004050000}"/>
    <cellStyle name="Normal 26 2 3" xfId="1503" xr:uid="{00000000-0005-0000-0000-000005050000}"/>
    <cellStyle name="Normal 26 3" xfId="1241" xr:uid="{00000000-0005-0000-0000-000006050000}"/>
    <cellStyle name="Normal 26 4" xfId="1239" xr:uid="{00000000-0005-0000-0000-000007050000}"/>
    <cellStyle name="Normal 26 4 2" xfId="1480" xr:uid="{00000000-0005-0000-0000-000008050000}"/>
    <cellStyle name="Normal 26 4 2 2" xfId="1524" xr:uid="{00000000-0005-0000-0000-000009050000}"/>
    <cellStyle name="Normal 26 4 3" xfId="1502" xr:uid="{00000000-0005-0000-0000-00000A050000}"/>
    <cellStyle name="Normal 26 5" xfId="1471" xr:uid="{00000000-0005-0000-0000-00000B050000}"/>
    <cellStyle name="Normal 26 5 2" xfId="1515" xr:uid="{00000000-0005-0000-0000-00000C050000}"/>
    <cellStyle name="Normal 26 6" xfId="1493" xr:uid="{00000000-0005-0000-0000-00000D050000}"/>
    <cellStyle name="Normal 27" xfId="11" xr:uid="{00000000-0005-0000-0000-00000E050000}"/>
    <cellStyle name="Normal 28" xfId="1242" xr:uid="{00000000-0005-0000-0000-00000F050000}"/>
    <cellStyle name="Normal 29" xfId="1243" xr:uid="{00000000-0005-0000-0000-000010050000}"/>
    <cellStyle name="Normal 29 2" xfId="1244" xr:uid="{00000000-0005-0000-0000-000011050000}"/>
    <cellStyle name="Normal 3" xfId="1245" xr:uid="{00000000-0005-0000-0000-000012050000}"/>
    <cellStyle name="Normal 3 10" xfId="1246" xr:uid="{00000000-0005-0000-0000-000013050000}"/>
    <cellStyle name="Normal 3 10 2" xfId="1247" xr:uid="{00000000-0005-0000-0000-000014050000}"/>
    <cellStyle name="Normal 3 11" xfId="1248" xr:uid="{00000000-0005-0000-0000-000015050000}"/>
    <cellStyle name="Normal 3 12" xfId="1249" xr:uid="{00000000-0005-0000-0000-000016050000}"/>
    <cellStyle name="Normal 3 13" xfId="1250" xr:uid="{00000000-0005-0000-0000-000017050000}"/>
    <cellStyle name="Normal 3 14" xfId="1251" xr:uid="{00000000-0005-0000-0000-000018050000}"/>
    <cellStyle name="Normal 3 15" xfId="1252" xr:uid="{00000000-0005-0000-0000-000019050000}"/>
    <cellStyle name="Normal 3 16" xfId="1253" xr:uid="{00000000-0005-0000-0000-00001A050000}"/>
    <cellStyle name="Normal 3 17" xfId="1254" xr:uid="{00000000-0005-0000-0000-00001B050000}"/>
    <cellStyle name="Normal 3 18" xfId="1255" xr:uid="{00000000-0005-0000-0000-00001C050000}"/>
    <cellStyle name="Normal 3 19" xfId="1256" xr:uid="{00000000-0005-0000-0000-00001D050000}"/>
    <cellStyle name="Normal 3 2" xfId="1257" xr:uid="{00000000-0005-0000-0000-00001E050000}"/>
    <cellStyle name="Normal 3 2 2" xfId="1258" xr:uid="{00000000-0005-0000-0000-00001F050000}"/>
    <cellStyle name="Normal 3 20" xfId="1259" xr:uid="{00000000-0005-0000-0000-000020050000}"/>
    <cellStyle name="Normal 3 21" xfId="1260" xr:uid="{00000000-0005-0000-0000-000021050000}"/>
    <cellStyle name="Normal 3 22" xfId="1261" xr:uid="{00000000-0005-0000-0000-000022050000}"/>
    <cellStyle name="Normal 3 23" xfId="1262" xr:uid="{00000000-0005-0000-0000-000023050000}"/>
    <cellStyle name="Normal 3 24" xfId="1462" xr:uid="{00000000-0005-0000-0000-000024050000}"/>
    <cellStyle name="Normal 3 24 2" xfId="1486" xr:uid="{00000000-0005-0000-0000-000025050000}"/>
    <cellStyle name="Normal 3 24 2 2" xfId="1530" xr:uid="{00000000-0005-0000-0000-000026050000}"/>
    <cellStyle name="Normal 3 24 3" xfId="1508" xr:uid="{00000000-0005-0000-0000-000027050000}"/>
    <cellStyle name="Normal 3 3" xfId="1263" xr:uid="{00000000-0005-0000-0000-000028050000}"/>
    <cellStyle name="Normal 3 3 2" xfId="1264" xr:uid="{00000000-0005-0000-0000-000029050000}"/>
    <cellStyle name="Normal 3 4" xfId="1265" xr:uid="{00000000-0005-0000-0000-00002A050000}"/>
    <cellStyle name="Normal 3 4 2" xfId="1266" xr:uid="{00000000-0005-0000-0000-00002B050000}"/>
    <cellStyle name="Normal 3 5" xfId="1267" xr:uid="{00000000-0005-0000-0000-00002C050000}"/>
    <cellStyle name="Normal 3 6" xfId="1268" xr:uid="{00000000-0005-0000-0000-00002D050000}"/>
    <cellStyle name="Normal 3 6 2" xfId="1269" xr:uid="{00000000-0005-0000-0000-00002E050000}"/>
    <cellStyle name="Normal 3 7" xfId="1270" xr:uid="{00000000-0005-0000-0000-00002F050000}"/>
    <cellStyle name="Normal 3 7 2" xfId="1271" xr:uid="{00000000-0005-0000-0000-000030050000}"/>
    <cellStyle name="Normal 3 8" xfId="1272" xr:uid="{00000000-0005-0000-0000-000031050000}"/>
    <cellStyle name="Normal 3 8 2" xfId="1273" xr:uid="{00000000-0005-0000-0000-000032050000}"/>
    <cellStyle name="Normal 3 9" xfId="1274" xr:uid="{00000000-0005-0000-0000-000033050000}"/>
    <cellStyle name="Normal 3 9 2" xfId="1275" xr:uid="{00000000-0005-0000-0000-000034050000}"/>
    <cellStyle name="Normal 3_2210_2220_2230_2240_2250_2260" xfId="1276" xr:uid="{00000000-0005-0000-0000-000035050000}"/>
    <cellStyle name="Normal 30" xfId="1277" xr:uid="{00000000-0005-0000-0000-000036050000}"/>
    <cellStyle name="Normal 30 2" xfId="1278" xr:uid="{00000000-0005-0000-0000-000037050000}"/>
    <cellStyle name="Normal 31" xfId="1279" xr:uid="{00000000-0005-0000-0000-000038050000}"/>
    <cellStyle name="Normal 31 2" xfId="1280" xr:uid="{00000000-0005-0000-0000-000039050000}"/>
    <cellStyle name="Normal 32" xfId="1281" xr:uid="{00000000-0005-0000-0000-00003A050000}"/>
    <cellStyle name="Normal 32 2" xfId="1282" xr:uid="{00000000-0005-0000-0000-00003B050000}"/>
    <cellStyle name="Normal 32 2 2" xfId="1283" xr:uid="{00000000-0005-0000-0000-00003C050000}"/>
    <cellStyle name="Normal 32 3" xfId="1284" xr:uid="{00000000-0005-0000-0000-00003D050000}"/>
    <cellStyle name="Normal 32 3 2" xfId="1285" xr:uid="{00000000-0005-0000-0000-00003E050000}"/>
    <cellStyle name="Normal 32 4" xfId="1286" xr:uid="{00000000-0005-0000-0000-00003F050000}"/>
    <cellStyle name="Normal 32 4 2" xfId="1287" xr:uid="{00000000-0005-0000-0000-000040050000}"/>
    <cellStyle name="Normal 32 5" xfId="1288" xr:uid="{00000000-0005-0000-0000-000041050000}"/>
    <cellStyle name="Normal 33" xfId="1289" xr:uid="{00000000-0005-0000-0000-000042050000}"/>
    <cellStyle name="Normal 33 2" xfId="1290" xr:uid="{00000000-0005-0000-0000-000043050000}"/>
    <cellStyle name="Normal 34" xfId="1291" xr:uid="{00000000-0005-0000-0000-000044050000}"/>
    <cellStyle name="Normal 34 2" xfId="1292" xr:uid="{00000000-0005-0000-0000-000045050000}"/>
    <cellStyle name="Normal 35" xfId="1293" xr:uid="{00000000-0005-0000-0000-000046050000}"/>
    <cellStyle name="Normal 35 2" xfId="1294" xr:uid="{00000000-0005-0000-0000-000047050000}"/>
    <cellStyle name="Normal 36" xfId="1295" xr:uid="{00000000-0005-0000-0000-000048050000}"/>
    <cellStyle name="Normal 36 2" xfId="1296" xr:uid="{00000000-0005-0000-0000-000049050000}"/>
    <cellStyle name="Normal 37" xfId="1297" xr:uid="{00000000-0005-0000-0000-00004A050000}"/>
    <cellStyle name="Normal 37 2" xfId="1298" xr:uid="{00000000-0005-0000-0000-00004B050000}"/>
    <cellStyle name="Normal 38" xfId="1299" xr:uid="{00000000-0005-0000-0000-00004C050000}"/>
    <cellStyle name="Normal 39" xfId="1461" xr:uid="{00000000-0005-0000-0000-00004D050000}"/>
    <cellStyle name="Normal 39 2" xfId="1485" xr:uid="{00000000-0005-0000-0000-00004E050000}"/>
    <cellStyle name="Normal 39 2 2" xfId="1529" xr:uid="{00000000-0005-0000-0000-00004F050000}"/>
    <cellStyle name="Normal 39 3" xfId="1507" xr:uid="{00000000-0005-0000-0000-000050050000}"/>
    <cellStyle name="Normal 4" xfId="1300" xr:uid="{00000000-0005-0000-0000-000051050000}"/>
    <cellStyle name="Normal 4 10" xfId="1301" xr:uid="{00000000-0005-0000-0000-000052050000}"/>
    <cellStyle name="Normal 4 11" xfId="1302" xr:uid="{00000000-0005-0000-0000-000053050000}"/>
    <cellStyle name="Normal 4 12" xfId="1303" xr:uid="{00000000-0005-0000-0000-000054050000}"/>
    <cellStyle name="Normal 4 13" xfId="1304" xr:uid="{00000000-0005-0000-0000-000055050000}"/>
    <cellStyle name="Normal 4 14" xfId="1305" xr:uid="{00000000-0005-0000-0000-000056050000}"/>
    <cellStyle name="Normal 4 15" xfId="1306" xr:uid="{00000000-0005-0000-0000-000057050000}"/>
    <cellStyle name="Normal 4 16" xfId="1307" xr:uid="{00000000-0005-0000-0000-000058050000}"/>
    <cellStyle name="Normal 4 17" xfId="1308" xr:uid="{00000000-0005-0000-0000-000059050000}"/>
    <cellStyle name="Normal 4 2" xfId="1309" xr:uid="{00000000-0005-0000-0000-00005A050000}"/>
    <cellStyle name="Normal 4 2 2" xfId="1310" xr:uid="{00000000-0005-0000-0000-00005B050000}"/>
    <cellStyle name="Normal 4 2 2 2" xfId="1311" xr:uid="{00000000-0005-0000-0000-00005C050000}"/>
    <cellStyle name="Normal 4 2 3" xfId="1312" xr:uid="{00000000-0005-0000-0000-00005D050000}"/>
    <cellStyle name="Normal 4 3" xfId="1313" xr:uid="{00000000-0005-0000-0000-00005E050000}"/>
    <cellStyle name="Normal 4 3 2" xfId="1314" xr:uid="{00000000-0005-0000-0000-00005F050000}"/>
    <cellStyle name="Normal 4 4" xfId="1315" xr:uid="{00000000-0005-0000-0000-000060050000}"/>
    <cellStyle name="Normal 4 4 2" xfId="1316" xr:uid="{00000000-0005-0000-0000-000061050000}"/>
    <cellStyle name="Normal 4 5" xfId="1317" xr:uid="{00000000-0005-0000-0000-000062050000}"/>
    <cellStyle name="Normal 4 6" xfId="1318" xr:uid="{00000000-0005-0000-0000-000063050000}"/>
    <cellStyle name="Normal 4 7" xfId="1319" xr:uid="{00000000-0005-0000-0000-000064050000}"/>
    <cellStyle name="Normal 4 8" xfId="1320" xr:uid="{00000000-0005-0000-0000-000065050000}"/>
    <cellStyle name="Normal 4 9" xfId="1321" xr:uid="{00000000-0005-0000-0000-000066050000}"/>
    <cellStyle name="Normal 4_2210_2220_2230_2240_2250_2260" xfId="1322" xr:uid="{00000000-0005-0000-0000-000067050000}"/>
    <cellStyle name="Normal 40" xfId="1466" xr:uid="{00000000-0005-0000-0000-000068050000}"/>
    <cellStyle name="Normal 45" xfId="1323" xr:uid="{00000000-0005-0000-0000-000069050000}"/>
    <cellStyle name="Normal 45 2" xfId="1324" xr:uid="{00000000-0005-0000-0000-00006A050000}"/>
    <cellStyle name="Normal 45 2 2" xfId="1325" xr:uid="{00000000-0005-0000-0000-00006B050000}"/>
    <cellStyle name="Normal 45 3" xfId="1326" xr:uid="{00000000-0005-0000-0000-00006C050000}"/>
    <cellStyle name="Normal 45 3 2" xfId="1327" xr:uid="{00000000-0005-0000-0000-00006D050000}"/>
    <cellStyle name="Normal 45 4" xfId="1328" xr:uid="{00000000-0005-0000-0000-00006E050000}"/>
    <cellStyle name="Normal 45 4 2" xfId="1329" xr:uid="{00000000-0005-0000-0000-00006F050000}"/>
    <cellStyle name="Normal 45 5" xfId="1330" xr:uid="{00000000-0005-0000-0000-000070050000}"/>
    <cellStyle name="Normal 5" xfId="1331" xr:uid="{00000000-0005-0000-0000-000071050000}"/>
    <cellStyle name="Normal 5 2" xfId="1332" xr:uid="{00000000-0005-0000-0000-000072050000}"/>
    <cellStyle name="Normal 5 3" xfId="1333" xr:uid="{00000000-0005-0000-0000-000073050000}"/>
    <cellStyle name="Normal 50" xfId="1334" xr:uid="{00000000-0005-0000-0000-000074050000}"/>
    <cellStyle name="Normal 50 2" xfId="1335" xr:uid="{00000000-0005-0000-0000-000075050000}"/>
    <cellStyle name="Normal 50 2 2" xfId="1336" xr:uid="{00000000-0005-0000-0000-000076050000}"/>
    <cellStyle name="Normal 50 3" xfId="1337" xr:uid="{00000000-0005-0000-0000-000077050000}"/>
    <cellStyle name="Normal 50 3 2" xfId="1338" xr:uid="{00000000-0005-0000-0000-000078050000}"/>
    <cellStyle name="Normal 50 4" xfId="1339" xr:uid="{00000000-0005-0000-0000-000079050000}"/>
    <cellStyle name="Normal 51" xfId="1340" xr:uid="{00000000-0005-0000-0000-00007A050000}"/>
    <cellStyle name="Normal 51 2" xfId="1341" xr:uid="{00000000-0005-0000-0000-00007B050000}"/>
    <cellStyle name="Normal 51 2 2" xfId="1342" xr:uid="{00000000-0005-0000-0000-00007C050000}"/>
    <cellStyle name="Normal 51 3" xfId="1343" xr:uid="{00000000-0005-0000-0000-00007D050000}"/>
    <cellStyle name="Normal 51 3 2" xfId="1344" xr:uid="{00000000-0005-0000-0000-00007E050000}"/>
    <cellStyle name="Normal 51 4" xfId="1345" xr:uid="{00000000-0005-0000-0000-00007F050000}"/>
    <cellStyle name="Normal 6" xfId="1346" xr:uid="{00000000-0005-0000-0000-000080050000}"/>
    <cellStyle name="Normal 6 2" xfId="1347" xr:uid="{00000000-0005-0000-0000-000081050000}"/>
    <cellStyle name="Normal 6 2 2" xfId="1348" xr:uid="{00000000-0005-0000-0000-000082050000}"/>
    <cellStyle name="Normal 6 3" xfId="1349" xr:uid="{00000000-0005-0000-0000-000083050000}"/>
    <cellStyle name="Normal 6 4" xfId="1350" xr:uid="{00000000-0005-0000-0000-000084050000}"/>
    <cellStyle name="Normal 6 4 2" xfId="7" xr:uid="{00000000-0005-0000-0000-000085050000}"/>
    <cellStyle name="Normal 6 4 2 2" xfId="1352" xr:uid="{00000000-0005-0000-0000-000086050000}"/>
    <cellStyle name="Normal 6 4 2 2 2" xfId="1353" xr:uid="{00000000-0005-0000-0000-000087050000}"/>
    <cellStyle name="Normal 6 4 2 2 3" xfId="1483" xr:uid="{00000000-0005-0000-0000-000088050000}"/>
    <cellStyle name="Normal 6 4 2 2 3 2" xfId="1527" xr:uid="{00000000-0005-0000-0000-000089050000}"/>
    <cellStyle name="Normal 6 4 2 2 4" xfId="1505" xr:uid="{00000000-0005-0000-0000-00008A050000}"/>
    <cellStyle name="Normal 6 4 2 3" xfId="1354" xr:uid="{00000000-0005-0000-0000-00008B050000}"/>
    <cellStyle name="Normal 6 4 2 4" xfId="1355" xr:uid="{00000000-0005-0000-0000-00008C050000}"/>
    <cellStyle name="Normal 6 4 2 5" xfId="1351" xr:uid="{00000000-0005-0000-0000-00008D050000}"/>
    <cellStyle name="Normal 6 4 2 5 2" xfId="1482" xr:uid="{00000000-0005-0000-0000-00008E050000}"/>
    <cellStyle name="Normal 6 4 2 5 2 2" xfId="1526" xr:uid="{00000000-0005-0000-0000-00008F050000}"/>
    <cellStyle name="Normal 6 4 2 5 3" xfId="1504" xr:uid="{00000000-0005-0000-0000-000090050000}"/>
    <cellStyle name="Normal 6 4 2 6" xfId="1470" xr:uid="{00000000-0005-0000-0000-000091050000}"/>
    <cellStyle name="Normal 6 4 2 6 2" xfId="1514" xr:uid="{00000000-0005-0000-0000-000092050000}"/>
    <cellStyle name="Normal 6 4 2 7" xfId="1492" xr:uid="{00000000-0005-0000-0000-000093050000}"/>
    <cellStyle name="Normal 6 4 3" xfId="1356" xr:uid="{00000000-0005-0000-0000-000094050000}"/>
    <cellStyle name="Normal 60 2" xfId="1357" xr:uid="{00000000-0005-0000-0000-000095050000}"/>
    <cellStyle name="Normal 60 2 2" xfId="1358" xr:uid="{00000000-0005-0000-0000-000096050000}"/>
    <cellStyle name="Normal 7" xfId="1359" xr:uid="{00000000-0005-0000-0000-000097050000}"/>
    <cellStyle name="Normal 70" xfId="1360" xr:uid="{00000000-0005-0000-0000-000098050000}"/>
    <cellStyle name="Normal 8" xfId="1361" xr:uid="{00000000-0005-0000-0000-000099050000}"/>
    <cellStyle name="Normal 8 2" xfId="5" xr:uid="{00000000-0005-0000-0000-00009A050000}"/>
    <cellStyle name="Normal 9" xfId="1362" xr:uid="{00000000-0005-0000-0000-00009B050000}"/>
    <cellStyle name="Normal_Sheet3" xfId="1467" xr:uid="{00000000-0005-0000-0000-00009C050000}"/>
    <cellStyle name="Note 10" xfId="1363" xr:uid="{00000000-0005-0000-0000-00009D050000}"/>
    <cellStyle name="Note 11" xfId="1364" xr:uid="{00000000-0005-0000-0000-00009E050000}"/>
    <cellStyle name="Note 12" xfId="1365" xr:uid="{00000000-0005-0000-0000-00009F050000}"/>
    <cellStyle name="Note 13" xfId="1366" xr:uid="{00000000-0005-0000-0000-0000A0050000}"/>
    <cellStyle name="Note 14" xfId="1367" xr:uid="{00000000-0005-0000-0000-0000A1050000}"/>
    <cellStyle name="Note 15" xfId="1368" xr:uid="{00000000-0005-0000-0000-0000A2050000}"/>
    <cellStyle name="Note 16" xfId="1369" xr:uid="{00000000-0005-0000-0000-0000A3050000}"/>
    <cellStyle name="Note 2" xfId="1370" xr:uid="{00000000-0005-0000-0000-0000A4050000}"/>
    <cellStyle name="Note 3" xfId="1371" xr:uid="{00000000-0005-0000-0000-0000A5050000}"/>
    <cellStyle name="Note 4" xfId="1372" xr:uid="{00000000-0005-0000-0000-0000A6050000}"/>
    <cellStyle name="Note 5" xfId="1373" xr:uid="{00000000-0005-0000-0000-0000A7050000}"/>
    <cellStyle name="Note 6" xfId="1374" xr:uid="{00000000-0005-0000-0000-0000A8050000}"/>
    <cellStyle name="Note 7" xfId="1375" xr:uid="{00000000-0005-0000-0000-0000A9050000}"/>
    <cellStyle name="Note 8" xfId="1376" xr:uid="{00000000-0005-0000-0000-0000AA050000}"/>
    <cellStyle name="Note 9" xfId="1377" xr:uid="{00000000-0005-0000-0000-0000AB050000}"/>
    <cellStyle name="Output 10" xfId="1378" xr:uid="{00000000-0005-0000-0000-0000AC050000}"/>
    <cellStyle name="Output 11" xfId="1379" xr:uid="{00000000-0005-0000-0000-0000AD050000}"/>
    <cellStyle name="Output 12" xfId="1380" xr:uid="{00000000-0005-0000-0000-0000AE050000}"/>
    <cellStyle name="Output 13" xfId="1381" xr:uid="{00000000-0005-0000-0000-0000AF050000}"/>
    <cellStyle name="Output 14" xfId="1382" xr:uid="{00000000-0005-0000-0000-0000B0050000}"/>
    <cellStyle name="Output 15" xfId="1383" xr:uid="{00000000-0005-0000-0000-0000B1050000}"/>
    <cellStyle name="Output 16" xfId="1384" xr:uid="{00000000-0005-0000-0000-0000B2050000}"/>
    <cellStyle name="Output 2" xfId="1385" xr:uid="{00000000-0005-0000-0000-0000B3050000}"/>
    <cellStyle name="Output 3" xfId="1386" xr:uid="{00000000-0005-0000-0000-0000B4050000}"/>
    <cellStyle name="Output 4" xfId="1387" xr:uid="{00000000-0005-0000-0000-0000B5050000}"/>
    <cellStyle name="Output 5" xfId="1388" xr:uid="{00000000-0005-0000-0000-0000B6050000}"/>
    <cellStyle name="Output 6" xfId="1389" xr:uid="{00000000-0005-0000-0000-0000B7050000}"/>
    <cellStyle name="Output 7" xfId="1390" xr:uid="{00000000-0005-0000-0000-0000B8050000}"/>
    <cellStyle name="Output 8" xfId="1391" xr:uid="{00000000-0005-0000-0000-0000B9050000}"/>
    <cellStyle name="Output 9" xfId="1392" xr:uid="{00000000-0005-0000-0000-0000BA050000}"/>
    <cellStyle name="Parasts" xfId="0" builtinId="0"/>
    <cellStyle name="Percent 2" xfId="1393" xr:uid="{00000000-0005-0000-0000-0000BC050000}"/>
    <cellStyle name="Percent 2 2" xfId="1394" xr:uid="{00000000-0005-0000-0000-0000BD050000}"/>
    <cellStyle name="Percent 3" xfId="1395" xr:uid="{00000000-0005-0000-0000-0000BE050000}"/>
    <cellStyle name="Percent 4" xfId="1396" xr:uid="{00000000-0005-0000-0000-0000BF050000}"/>
    <cellStyle name="Percent 5" xfId="1397" xr:uid="{00000000-0005-0000-0000-0000C0050000}"/>
    <cellStyle name="Percent 6" xfId="1398" xr:uid="{00000000-0005-0000-0000-0000C1050000}"/>
    <cellStyle name="Percent 6 2" xfId="1399" xr:uid="{00000000-0005-0000-0000-0000C2050000}"/>
    <cellStyle name="Procenti" xfId="12" builtinId="5"/>
    <cellStyle name="Title 10" xfId="1400" xr:uid="{00000000-0005-0000-0000-0000C3050000}"/>
    <cellStyle name="Title 11" xfId="1401" xr:uid="{00000000-0005-0000-0000-0000C4050000}"/>
    <cellStyle name="Title 12" xfId="1402" xr:uid="{00000000-0005-0000-0000-0000C5050000}"/>
    <cellStyle name="Title 13" xfId="1403" xr:uid="{00000000-0005-0000-0000-0000C6050000}"/>
    <cellStyle name="Title 14" xfId="1404" xr:uid="{00000000-0005-0000-0000-0000C7050000}"/>
    <cellStyle name="Title 15" xfId="1405" xr:uid="{00000000-0005-0000-0000-0000C8050000}"/>
    <cellStyle name="Title 16" xfId="1406" xr:uid="{00000000-0005-0000-0000-0000C9050000}"/>
    <cellStyle name="Title 2" xfId="1407" xr:uid="{00000000-0005-0000-0000-0000CA050000}"/>
    <cellStyle name="Title 3" xfId="1408" xr:uid="{00000000-0005-0000-0000-0000CB050000}"/>
    <cellStyle name="Title 4" xfId="1409" xr:uid="{00000000-0005-0000-0000-0000CC050000}"/>
    <cellStyle name="Title 5" xfId="1410" xr:uid="{00000000-0005-0000-0000-0000CD050000}"/>
    <cellStyle name="Title 6" xfId="1411" xr:uid="{00000000-0005-0000-0000-0000CE050000}"/>
    <cellStyle name="Title 7" xfId="1412" xr:uid="{00000000-0005-0000-0000-0000CF050000}"/>
    <cellStyle name="Title 8" xfId="1413" xr:uid="{00000000-0005-0000-0000-0000D0050000}"/>
    <cellStyle name="Title 9" xfId="1414" xr:uid="{00000000-0005-0000-0000-0000D1050000}"/>
    <cellStyle name="Total 10" xfId="1415" xr:uid="{00000000-0005-0000-0000-0000D2050000}"/>
    <cellStyle name="Total 10 2" xfId="1416" xr:uid="{00000000-0005-0000-0000-0000D3050000}"/>
    <cellStyle name="Total 11" xfId="1417" xr:uid="{00000000-0005-0000-0000-0000D4050000}"/>
    <cellStyle name="Total 11 2" xfId="1418" xr:uid="{00000000-0005-0000-0000-0000D5050000}"/>
    <cellStyle name="Total 12" xfId="1419" xr:uid="{00000000-0005-0000-0000-0000D6050000}"/>
    <cellStyle name="Total 12 2" xfId="1420" xr:uid="{00000000-0005-0000-0000-0000D7050000}"/>
    <cellStyle name="Total 13" xfId="1421" xr:uid="{00000000-0005-0000-0000-0000D8050000}"/>
    <cellStyle name="Total 13 2" xfId="1422" xr:uid="{00000000-0005-0000-0000-0000D9050000}"/>
    <cellStyle name="Total 14" xfId="1423" xr:uid="{00000000-0005-0000-0000-0000DA050000}"/>
    <cellStyle name="Total 14 2" xfId="1424" xr:uid="{00000000-0005-0000-0000-0000DB050000}"/>
    <cellStyle name="Total 15" xfId="1425" xr:uid="{00000000-0005-0000-0000-0000DC050000}"/>
    <cellStyle name="Total 15 2" xfId="1426" xr:uid="{00000000-0005-0000-0000-0000DD050000}"/>
    <cellStyle name="Total 16" xfId="1427" xr:uid="{00000000-0005-0000-0000-0000DE050000}"/>
    <cellStyle name="Total 2" xfId="1428" xr:uid="{00000000-0005-0000-0000-0000DF050000}"/>
    <cellStyle name="Total 2 2" xfId="1429" xr:uid="{00000000-0005-0000-0000-0000E0050000}"/>
    <cellStyle name="Total 3" xfId="1430" xr:uid="{00000000-0005-0000-0000-0000E1050000}"/>
    <cellStyle name="Total 3 2" xfId="1431" xr:uid="{00000000-0005-0000-0000-0000E2050000}"/>
    <cellStyle name="Total 4" xfId="1432" xr:uid="{00000000-0005-0000-0000-0000E3050000}"/>
    <cellStyle name="Total 4 2" xfId="1433" xr:uid="{00000000-0005-0000-0000-0000E4050000}"/>
    <cellStyle name="Total 5" xfId="1434" xr:uid="{00000000-0005-0000-0000-0000E5050000}"/>
    <cellStyle name="Total 5 2" xfId="1435" xr:uid="{00000000-0005-0000-0000-0000E6050000}"/>
    <cellStyle name="Total 6" xfId="1436" xr:uid="{00000000-0005-0000-0000-0000E7050000}"/>
    <cellStyle name="Total 6 2" xfId="1437" xr:uid="{00000000-0005-0000-0000-0000E8050000}"/>
    <cellStyle name="Total 7" xfId="1438" xr:uid="{00000000-0005-0000-0000-0000E9050000}"/>
    <cellStyle name="Total 7 2" xfId="1439" xr:uid="{00000000-0005-0000-0000-0000EA050000}"/>
    <cellStyle name="Total 8" xfId="1440" xr:uid="{00000000-0005-0000-0000-0000EB050000}"/>
    <cellStyle name="Total 8 2" xfId="1441" xr:uid="{00000000-0005-0000-0000-0000EC050000}"/>
    <cellStyle name="Total 9" xfId="1442" xr:uid="{00000000-0005-0000-0000-0000ED050000}"/>
    <cellStyle name="Total 9 2" xfId="1443" xr:uid="{00000000-0005-0000-0000-0000EE050000}"/>
    <cellStyle name="Warning Text 10" xfId="1444" xr:uid="{00000000-0005-0000-0000-0000EF050000}"/>
    <cellStyle name="Warning Text 11" xfId="1445" xr:uid="{00000000-0005-0000-0000-0000F0050000}"/>
    <cellStyle name="Warning Text 12" xfId="1446" xr:uid="{00000000-0005-0000-0000-0000F1050000}"/>
    <cellStyle name="Warning Text 13" xfId="1447" xr:uid="{00000000-0005-0000-0000-0000F2050000}"/>
    <cellStyle name="Warning Text 14" xfId="1448" xr:uid="{00000000-0005-0000-0000-0000F3050000}"/>
    <cellStyle name="Warning Text 15" xfId="1449" xr:uid="{00000000-0005-0000-0000-0000F4050000}"/>
    <cellStyle name="Warning Text 16" xfId="1450" xr:uid="{00000000-0005-0000-0000-0000F5050000}"/>
    <cellStyle name="Warning Text 2" xfId="1451" xr:uid="{00000000-0005-0000-0000-0000F6050000}"/>
    <cellStyle name="Warning Text 3" xfId="1452" xr:uid="{00000000-0005-0000-0000-0000F7050000}"/>
    <cellStyle name="Warning Text 4" xfId="1453" xr:uid="{00000000-0005-0000-0000-0000F8050000}"/>
    <cellStyle name="Warning Text 5" xfId="1454" xr:uid="{00000000-0005-0000-0000-0000F9050000}"/>
    <cellStyle name="Warning Text 6" xfId="1455" xr:uid="{00000000-0005-0000-0000-0000FA050000}"/>
    <cellStyle name="Warning Text 7" xfId="1456" xr:uid="{00000000-0005-0000-0000-0000FB050000}"/>
    <cellStyle name="Warning Text 8" xfId="1457" xr:uid="{00000000-0005-0000-0000-0000FC050000}"/>
    <cellStyle name="Warning Text 9" xfId="1458" xr:uid="{00000000-0005-0000-0000-0000FD05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195"/>
  <sheetViews>
    <sheetView tabSelected="1" topLeftCell="A97" zoomScale="75" zoomScaleNormal="75" workbookViewId="0">
      <selection activeCell="L27" sqref="L27"/>
    </sheetView>
  </sheetViews>
  <sheetFormatPr defaultColWidth="9.140625" defaultRowHeight="18.75" x14ac:dyDescent="0.2"/>
  <cols>
    <col min="1" max="1" width="7.85546875" style="114" bestFit="1" customWidth="1"/>
    <col min="2" max="2" width="53.5703125" style="114" customWidth="1"/>
    <col min="3" max="3" width="19.85546875" style="177" customWidth="1"/>
    <col min="4" max="4" width="19.85546875" style="114" customWidth="1"/>
    <col min="5" max="8" width="19.85546875" style="177" customWidth="1"/>
    <col min="9" max="10" width="24.42578125" style="177" customWidth="1"/>
    <col min="11" max="11" width="78.140625" style="177" customWidth="1"/>
    <col min="12" max="12" width="9.140625" style="114" customWidth="1"/>
    <col min="13" max="16384" width="9.140625" style="114"/>
  </cols>
  <sheetData>
    <row r="1" spans="1:11" ht="56.25" x14ac:dyDescent="0.2">
      <c r="A1" s="109" t="s">
        <v>0</v>
      </c>
      <c r="B1" s="110" t="s">
        <v>1</v>
      </c>
      <c r="C1" s="303" t="s">
        <v>604</v>
      </c>
      <c r="D1" s="303" t="s">
        <v>605</v>
      </c>
      <c r="E1" s="303" t="s">
        <v>606</v>
      </c>
      <c r="F1" s="303" t="s">
        <v>607</v>
      </c>
      <c r="G1" s="303" t="s">
        <v>608</v>
      </c>
      <c r="H1" s="303" t="s">
        <v>609</v>
      </c>
      <c r="I1" s="111" t="s">
        <v>610</v>
      </c>
      <c r="J1" s="112" t="s">
        <v>611</v>
      </c>
      <c r="K1" s="113" t="s">
        <v>419</v>
      </c>
    </row>
    <row r="2" spans="1:11" x14ac:dyDescent="0.2">
      <c r="A2" s="109">
        <v>1</v>
      </c>
      <c r="B2" s="110">
        <v>2</v>
      </c>
      <c r="C2" s="110">
        <v>8</v>
      </c>
      <c r="D2" s="110">
        <v>4</v>
      </c>
      <c r="E2" s="110">
        <v>5</v>
      </c>
      <c r="F2" s="110">
        <v>6</v>
      </c>
      <c r="G2" s="110">
        <v>7</v>
      </c>
      <c r="H2" s="110">
        <v>8</v>
      </c>
      <c r="I2" s="111">
        <v>9</v>
      </c>
      <c r="J2" s="115">
        <v>10</v>
      </c>
      <c r="K2" s="113">
        <v>11</v>
      </c>
    </row>
    <row r="3" spans="1:11" ht="37.5" x14ac:dyDescent="0.2">
      <c r="A3" s="116" t="s">
        <v>2</v>
      </c>
      <c r="B3" s="117" t="s">
        <v>3</v>
      </c>
      <c r="C3" s="338">
        <f>C4+C22+C25+C29+C30+C31+C32+C33</f>
        <v>19756030.199999996</v>
      </c>
      <c r="D3" s="338">
        <f t="shared" ref="D3:H3" si="0">D4+D22+D25+D29+D30+D31+D32+D33</f>
        <v>19446024.59</v>
      </c>
      <c r="E3" s="338">
        <f t="shared" si="0"/>
        <v>5704362.4633852514</v>
      </c>
      <c r="F3" s="338">
        <f t="shared" si="0"/>
        <v>11162851.41531211</v>
      </c>
      <c r="G3" s="338">
        <f t="shared" si="0"/>
        <v>16761929.689126737</v>
      </c>
      <c r="H3" s="338">
        <f t="shared" si="0"/>
        <v>22715109.057500001</v>
      </c>
      <c r="I3" s="118">
        <f t="shared" ref="I3:I66" si="1">H3-D3</f>
        <v>3269084.4675000012</v>
      </c>
      <c r="J3" s="119">
        <f>IFERROR(I3/ABS(D3), "-")</f>
        <v>0.16811068259067757</v>
      </c>
      <c r="K3" s="120"/>
    </row>
    <row r="4" spans="1:11" s="123" customFormat="1" ht="19.5" x14ac:dyDescent="0.2">
      <c r="A4" s="121" t="s">
        <v>119</v>
      </c>
      <c r="B4" s="122" t="s">
        <v>4</v>
      </c>
      <c r="C4" s="338">
        <f>C5+C10+C13+C16+C21</f>
        <v>17259325.999999996</v>
      </c>
      <c r="D4" s="338">
        <f t="shared" ref="D4:H4" si="2">D5+D10+D13+D16+D21</f>
        <v>17164050.68</v>
      </c>
      <c r="E4" s="338">
        <f t="shared" si="2"/>
        <v>4982847.6266852515</v>
      </c>
      <c r="F4" s="338">
        <f t="shared" si="2"/>
        <v>10006079.073512111</v>
      </c>
      <c r="G4" s="338">
        <f t="shared" si="2"/>
        <v>14934847.153126737</v>
      </c>
      <c r="H4" s="338">
        <f t="shared" si="2"/>
        <v>20323993.105</v>
      </c>
      <c r="I4" s="118">
        <f t="shared" si="1"/>
        <v>3159942.4250000007</v>
      </c>
      <c r="J4" s="119">
        <f t="shared" ref="J4:J66" si="3">IFERROR(I4/ABS(D4), "-")</f>
        <v>0.18410237093287357</v>
      </c>
      <c r="K4" s="120"/>
    </row>
    <row r="5" spans="1:11" s="123" customFormat="1" ht="37.5" x14ac:dyDescent="0.2">
      <c r="A5" s="121" t="s">
        <v>120</v>
      </c>
      <c r="B5" s="122" t="s">
        <v>121</v>
      </c>
      <c r="C5" s="338">
        <f>SUM(C6:C9)</f>
        <v>16584771.999999996</v>
      </c>
      <c r="D5" s="338">
        <f t="shared" ref="D5:H5" si="4">SUM(D6:D9)</f>
        <v>16434979.749999998</v>
      </c>
      <c r="E5" s="338">
        <f t="shared" si="4"/>
        <v>4767317.8886852516</v>
      </c>
      <c r="F5" s="338">
        <f t="shared" si="4"/>
        <v>9583016.3875121102</v>
      </c>
      <c r="G5" s="338">
        <f t="shared" si="4"/>
        <v>14299210.860126738</v>
      </c>
      <c r="H5" s="338">
        <f t="shared" si="4"/>
        <v>19451455</v>
      </c>
      <c r="I5" s="118">
        <f t="shared" si="1"/>
        <v>3016475.2500000019</v>
      </c>
      <c r="J5" s="119">
        <f t="shared" si="3"/>
        <v>0.18353994321167338</v>
      </c>
      <c r="K5" s="120"/>
    </row>
    <row r="6" spans="1:11" x14ac:dyDescent="0.2">
      <c r="A6" s="124" t="s">
        <v>122</v>
      </c>
      <c r="B6" s="125" t="s">
        <v>5</v>
      </c>
      <c r="C6" s="339">
        <v>15217292.999999996</v>
      </c>
      <c r="D6" s="339">
        <v>15129757.619999999</v>
      </c>
      <c r="E6" s="339">
        <v>4361263.3846989861</v>
      </c>
      <c r="F6" s="339">
        <v>8743080.8748891056</v>
      </c>
      <c r="G6" s="339">
        <v>13047748.984946776</v>
      </c>
      <c r="H6" s="339">
        <v>17891543</v>
      </c>
      <c r="I6" s="126">
        <f t="shared" si="1"/>
        <v>2761785.3800000008</v>
      </c>
      <c r="J6" s="127">
        <f t="shared" si="3"/>
        <v>0.1825399619323182</v>
      </c>
      <c r="K6" s="375" t="s">
        <v>601</v>
      </c>
    </row>
    <row r="7" spans="1:11" ht="37.5" x14ac:dyDescent="0.2">
      <c r="A7" s="124" t="s">
        <v>123</v>
      </c>
      <c r="B7" s="125" t="s">
        <v>6</v>
      </c>
      <c r="C7" s="339">
        <v>60635</v>
      </c>
      <c r="D7" s="339">
        <v>50870.35</v>
      </c>
      <c r="E7" s="339">
        <v>16053.37742555339</v>
      </c>
      <c r="F7" s="339">
        <v>28951.954975737339</v>
      </c>
      <c r="G7" s="339">
        <v>46941.730473645257</v>
      </c>
      <c r="H7" s="339">
        <v>62888</v>
      </c>
      <c r="I7" s="126">
        <f>H7-D7</f>
        <v>12017.650000000001</v>
      </c>
      <c r="J7" s="127">
        <f t="shared" si="3"/>
        <v>0.23624075714045611</v>
      </c>
      <c r="K7" s="375" t="s">
        <v>674</v>
      </c>
    </row>
    <row r="8" spans="1:11" x14ac:dyDescent="0.2">
      <c r="A8" s="124" t="s">
        <v>124</v>
      </c>
      <c r="B8" s="125" t="s">
        <v>7</v>
      </c>
      <c r="C8" s="339">
        <v>1281661</v>
      </c>
      <c r="D8" s="339">
        <v>1239104.6800000002</v>
      </c>
      <c r="E8" s="339">
        <v>381941.2432235023</v>
      </c>
      <c r="F8" s="339">
        <v>798255.12311608728</v>
      </c>
      <c r="G8" s="339">
        <v>1183780.625324327</v>
      </c>
      <c r="H8" s="339">
        <v>1471146</v>
      </c>
      <c r="I8" s="126">
        <f t="shared" si="1"/>
        <v>232041.31999999983</v>
      </c>
      <c r="J8" s="127">
        <f t="shared" si="3"/>
        <v>0.18726530836765123</v>
      </c>
      <c r="K8" s="375" t="s">
        <v>601</v>
      </c>
    </row>
    <row r="9" spans="1:11" ht="37.5" x14ac:dyDescent="0.2">
      <c r="A9" s="124" t="s">
        <v>125</v>
      </c>
      <c r="B9" s="125" t="s">
        <v>8</v>
      </c>
      <c r="C9" s="339">
        <v>25183</v>
      </c>
      <c r="D9" s="339">
        <v>15247.1</v>
      </c>
      <c r="E9" s="339">
        <v>8059.8833372095214</v>
      </c>
      <c r="F9" s="339">
        <v>12728.434531180268</v>
      </c>
      <c r="G9" s="339">
        <v>20739.519381988925</v>
      </c>
      <c r="H9" s="339">
        <v>25878</v>
      </c>
      <c r="I9" s="126">
        <f t="shared" si="1"/>
        <v>10630.9</v>
      </c>
      <c r="J9" s="127">
        <f t="shared" si="3"/>
        <v>0.69724078677256651</v>
      </c>
      <c r="K9" s="375" t="s">
        <v>674</v>
      </c>
    </row>
    <row r="10" spans="1:11" ht="19.5" hidden="1" x14ac:dyDescent="0.2">
      <c r="A10" s="121" t="s">
        <v>126</v>
      </c>
      <c r="B10" s="122" t="s">
        <v>127</v>
      </c>
      <c r="C10" s="338">
        <f t="shared" ref="C10" si="5">SUM(C11:C12)</f>
        <v>0</v>
      </c>
      <c r="D10" s="338">
        <v>0</v>
      </c>
      <c r="E10" s="338">
        <v>0</v>
      </c>
      <c r="F10" s="338">
        <v>0</v>
      </c>
      <c r="G10" s="338">
        <v>0</v>
      </c>
      <c r="H10" s="338">
        <v>0</v>
      </c>
      <c r="I10" s="118">
        <f t="shared" si="1"/>
        <v>0</v>
      </c>
      <c r="J10" s="119" t="str">
        <f t="shared" si="3"/>
        <v>-</v>
      </c>
      <c r="K10" s="120"/>
    </row>
    <row r="11" spans="1:11" hidden="1" x14ac:dyDescent="0.2">
      <c r="A11" s="124" t="s">
        <v>128</v>
      </c>
      <c r="B11" s="125" t="s">
        <v>129</v>
      </c>
      <c r="C11" s="339"/>
      <c r="D11" s="339">
        <v>0</v>
      </c>
      <c r="E11" s="339">
        <v>0</v>
      </c>
      <c r="F11" s="339">
        <v>0</v>
      </c>
      <c r="G11" s="339">
        <v>0</v>
      </c>
      <c r="H11" s="339">
        <v>0</v>
      </c>
      <c r="I11" s="126">
        <f t="shared" si="1"/>
        <v>0</v>
      </c>
      <c r="J11" s="127" t="str">
        <f t="shared" si="3"/>
        <v>-</v>
      </c>
      <c r="K11" s="14"/>
    </row>
    <row r="12" spans="1:11" hidden="1" x14ac:dyDescent="0.2">
      <c r="A12" s="124" t="s">
        <v>130</v>
      </c>
      <c r="B12" s="125" t="s">
        <v>131</v>
      </c>
      <c r="C12" s="339"/>
      <c r="D12" s="339">
        <v>0</v>
      </c>
      <c r="E12" s="339">
        <v>0</v>
      </c>
      <c r="F12" s="339">
        <v>0</v>
      </c>
      <c r="G12" s="339">
        <v>0</v>
      </c>
      <c r="H12" s="339">
        <v>0</v>
      </c>
      <c r="I12" s="126">
        <f t="shared" si="1"/>
        <v>0</v>
      </c>
      <c r="J12" s="127" t="str">
        <f t="shared" si="3"/>
        <v>-</v>
      </c>
      <c r="K12" s="14"/>
    </row>
    <row r="13" spans="1:11" ht="37.5" x14ac:dyDescent="0.2">
      <c r="A13" s="121" t="s">
        <v>132</v>
      </c>
      <c r="B13" s="122" t="s">
        <v>133</v>
      </c>
      <c r="C13" s="338">
        <f>SUM(C14:C15)</f>
        <v>514690.00000000006</v>
      </c>
      <c r="D13" s="338">
        <f t="shared" ref="D13:H13" si="6">SUM(D14:D15)</f>
        <v>580319.17999999993</v>
      </c>
      <c r="E13" s="338">
        <f t="shared" si="6"/>
        <v>179252.31</v>
      </c>
      <c r="F13" s="338">
        <f t="shared" si="6"/>
        <v>348384.82999999996</v>
      </c>
      <c r="G13" s="338">
        <f t="shared" si="6"/>
        <v>515360.61</v>
      </c>
      <c r="H13" s="338">
        <f t="shared" si="6"/>
        <v>708911.17999999993</v>
      </c>
      <c r="I13" s="118">
        <f t="shared" si="1"/>
        <v>128592</v>
      </c>
      <c r="J13" s="119">
        <f t="shared" si="3"/>
        <v>0.22158840243743111</v>
      </c>
      <c r="K13" s="120"/>
    </row>
    <row r="14" spans="1:11" x14ac:dyDescent="0.2">
      <c r="A14" s="124" t="s">
        <v>134</v>
      </c>
      <c r="B14" s="125" t="s">
        <v>135</v>
      </c>
      <c r="C14" s="339">
        <f>467900*1.1</f>
        <v>514690.00000000006</v>
      </c>
      <c r="D14" s="339">
        <v>580319.17999999993</v>
      </c>
      <c r="E14" s="339">
        <v>179252.31</v>
      </c>
      <c r="F14" s="339">
        <v>348384.82999999996</v>
      </c>
      <c r="G14" s="339">
        <v>515360.61</v>
      </c>
      <c r="H14" s="339">
        <v>708911.17999999993</v>
      </c>
      <c r="I14" s="126">
        <f t="shared" si="1"/>
        <v>128592</v>
      </c>
      <c r="J14" s="127">
        <f t="shared" si="3"/>
        <v>0.22158840243743111</v>
      </c>
      <c r="K14" s="375" t="s">
        <v>602</v>
      </c>
    </row>
    <row r="15" spans="1:11" ht="37.5" hidden="1" x14ac:dyDescent="0.2">
      <c r="A15" s="124" t="s">
        <v>136</v>
      </c>
      <c r="B15" s="125" t="s">
        <v>420</v>
      </c>
      <c r="C15" s="339"/>
      <c r="D15" s="339">
        <v>0</v>
      </c>
      <c r="E15" s="339">
        <v>0</v>
      </c>
      <c r="F15" s="339">
        <v>0</v>
      </c>
      <c r="G15" s="339">
        <v>0</v>
      </c>
      <c r="H15" s="339">
        <v>0</v>
      </c>
      <c r="I15" s="126">
        <f t="shared" si="1"/>
        <v>0</v>
      </c>
      <c r="J15" s="127" t="str">
        <f t="shared" si="3"/>
        <v>-</v>
      </c>
      <c r="K15" s="304"/>
    </row>
    <row r="16" spans="1:11" ht="19.5" x14ac:dyDescent="0.2">
      <c r="A16" s="121" t="s">
        <v>137</v>
      </c>
      <c r="B16" s="122" t="s">
        <v>108</v>
      </c>
      <c r="C16" s="338">
        <f>SUM(C17:C20)</f>
        <v>159864</v>
      </c>
      <c r="D16" s="338">
        <f t="shared" ref="D16:H16" si="7">SUM(D17:D20)</f>
        <v>148751.75</v>
      </c>
      <c r="E16" s="338">
        <f t="shared" si="7"/>
        <v>36277.428</v>
      </c>
      <c r="F16" s="338">
        <f t="shared" si="7"/>
        <v>74677.856</v>
      </c>
      <c r="G16" s="338">
        <f t="shared" si="7"/>
        <v>120275.683</v>
      </c>
      <c r="H16" s="338">
        <f t="shared" si="7"/>
        <v>163626.92499999999</v>
      </c>
      <c r="I16" s="118">
        <f t="shared" si="1"/>
        <v>14875.174999999988</v>
      </c>
      <c r="J16" s="119">
        <f t="shared" si="3"/>
        <v>9.9999999999999922E-2</v>
      </c>
      <c r="K16" s="120"/>
    </row>
    <row r="17" spans="1:11" x14ac:dyDescent="0.2">
      <c r="A17" s="124" t="s">
        <v>138</v>
      </c>
      <c r="B17" s="125" t="s">
        <v>9</v>
      </c>
      <c r="C17" s="339"/>
      <c r="D17" s="339">
        <v>0</v>
      </c>
      <c r="E17" s="339">
        <v>0</v>
      </c>
      <c r="F17" s="339">
        <v>0</v>
      </c>
      <c r="G17" s="339">
        <v>0</v>
      </c>
      <c r="H17" s="339">
        <v>0</v>
      </c>
      <c r="I17" s="126">
        <f t="shared" si="1"/>
        <v>0</v>
      </c>
      <c r="J17" s="127" t="str">
        <f t="shared" si="3"/>
        <v>-</v>
      </c>
      <c r="K17" s="293"/>
    </row>
    <row r="18" spans="1:11" ht="37.5" x14ac:dyDescent="0.2">
      <c r="A18" s="124" t="s">
        <v>139</v>
      </c>
      <c r="B18" s="128" t="s">
        <v>10</v>
      </c>
      <c r="C18" s="340">
        <v>159864</v>
      </c>
      <c r="D18" s="340">
        <v>148751.75</v>
      </c>
      <c r="E18" s="339">
        <v>36277.428</v>
      </c>
      <c r="F18" s="339">
        <v>74677.856</v>
      </c>
      <c r="G18" s="339">
        <v>120275.683</v>
      </c>
      <c r="H18" s="340">
        <v>163626.92499999999</v>
      </c>
      <c r="I18" s="126">
        <f t="shared" si="1"/>
        <v>14875.174999999988</v>
      </c>
      <c r="J18" s="127">
        <f t="shared" si="3"/>
        <v>9.9999999999999922E-2</v>
      </c>
      <c r="K18" s="375" t="s">
        <v>675</v>
      </c>
    </row>
    <row r="19" spans="1:11" ht="37.5" hidden="1" x14ac:dyDescent="0.2">
      <c r="A19" s="124" t="s">
        <v>140</v>
      </c>
      <c r="B19" s="125" t="s">
        <v>12</v>
      </c>
      <c r="C19" s="339"/>
      <c r="D19" s="339">
        <v>0</v>
      </c>
      <c r="E19" s="339">
        <v>0</v>
      </c>
      <c r="F19" s="339">
        <v>0</v>
      </c>
      <c r="G19" s="339">
        <v>0</v>
      </c>
      <c r="H19" s="339">
        <v>0</v>
      </c>
      <c r="I19" s="126">
        <f t="shared" si="1"/>
        <v>0</v>
      </c>
      <c r="J19" s="127" t="str">
        <f t="shared" si="3"/>
        <v>-</v>
      </c>
      <c r="K19" s="304"/>
    </row>
    <row r="20" spans="1:11" hidden="1" x14ac:dyDescent="0.2">
      <c r="A20" s="124" t="s">
        <v>141</v>
      </c>
      <c r="B20" s="125" t="s">
        <v>13</v>
      </c>
      <c r="C20" s="339"/>
      <c r="D20" s="339">
        <v>0</v>
      </c>
      <c r="E20" s="339">
        <v>0</v>
      </c>
      <c r="F20" s="339">
        <v>0</v>
      </c>
      <c r="G20" s="339">
        <v>0</v>
      </c>
      <c r="H20" s="339">
        <v>0</v>
      </c>
      <c r="I20" s="126">
        <f t="shared" si="1"/>
        <v>0</v>
      </c>
      <c r="J20" s="127" t="str">
        <f t="shared" si="3"/>
        <v>-</v>
      </c>
      <c r="K20" s="304"/>
    </row>
    <row r="21" spans="1:11" ht="37.5" hidden="1" x14ac:dyDescent="0.2">
      <c r="A21" s="121" t="s">
        <v>414</v>
      </c>
      <c r="B21" s="122" t="s">
        <v>415</v>
      </c>
      <c r="C21" s="341"/>
      <c r="D21" s="341">
        <v>0</v>
      </c>
      <c r="E21" s="341">
        <v>0</v>
      </c>
      <c r="F21" s="341">
        <v>0</v>
      </c>
      <c r="G21" s="341">
        <v>0</v>
      </c>
      <c r="H21" s="341">
        <v>0</v>
      </c>
      <c r="I21" s="118">
        <f t="shared" si="1"/>
        <v>0</v>
      </c>
      <c r="J21" s="119" t="str">
        <f t="shared" si="3"/>
        <v>-</v>
      </c>
      <c r="K21" s="306"/>
    </row>
    <row r="22" spans="1:11" s="123" customFormat="1" ht="19.5" hidden="1" x14ac:dyDescent="0.2">
      <c r="A22" s="121" t="s">
        <v>142</v>
      </c>
      <c r="B22" s="122" t="s">
        <v>14</v>
      </c>
      <c r="C22" s="338">
        <f t="shared" ref="C22" si="8">SUM(C23:C24)</f>
        <v>0</v>
      </c>
      <c r="D22" s="338">
        <v>0</v>
      </c>
      <c r="E22" s="338">
        <v>0</v>
      </c>
      <c r="F22" s="338">
        <v>0</v>
      </c>
      <c r="G22" s="338">
        <v>0</v>
      </c>
      <c r="H22" s="338">
        <v>0</v>
      </c>
      <c r="I22" s="118">
        <f t="shared" si="1"/>
        <v>0</v>
      </c>
      <c r="J22" s="119" t="str">
        <f t="shared" si="3"/>
        <v>-</v>
      </c>
      <c r="K22" s="305"/>
    </row>
    <row r="23" spans="1:11" hidden="1" x14ac:dyDescent="0.2">
      <c r="A23" s="124" t="s">
        <v>143</v>
      </c>
      <c r="B23" s="125" t="s">
        <v>417</v>
      </c>
      <c r="C23" s="339"/>
      <c r="D23" s="339">
        <v>0</v>
      </c>
      <c r="E23" s="339">
        <v>0</v>
      </c>
      <c r="F23" s="339">
        <v>0</v>
      </c>
      <c r="G23" s="339">
        <v>0</v>
      </c>
      <c r="H23" s="339">
        <v>0</v>
      </c>
      <c r="I23" s="126">
        <f t="shared" si="1"/>
        <v>0</v>
      </c>
      <c r="J23" s="127" t="str">
        <f t="shared" si="3"/>
        <v>-</v>
      </c>
      <c r="K23" s="304"/>
    </row>
    <row r="24" spans="1:11" hidden="1" x14ac:dyDescent="0.2">
      <c r="A24" s="124" t="s">
        <v>416</v>
      </c>
      <c r="B24" s="125" t="s">
        <v>418</v>
      </c>
      <c r="C24" s="339"/>
      <c r="D24" s="339">
        <v>0</v>
      </c>
      <c r="E24" s="339">
        <v>0</v>
      </c>
      <c r="F24" s="339">
        <v>0</v>
      </c>
      <c r="G24" s="339">
        <v>0</v>
      </c>
      <c r="H24" s="339">
        <v>0</v>
      </c>
      <c r="I24" s="126">
        <f t="shared" si="1"/>
        <v>0</v>
      </c>
      <c r="J24" s="127" t="str">
        <f t="shared" si="3"/>
        <v>-</v>
      </c>
      <c r="K24" s="304"/>
    </row>
    <row r="25" spans="1:11" s="123" customFormat="1" ht="19.5" x14ac:dyDescent="0.2">
      <c r="A25" s="121" t="s">
        <v>144</v>
      </c>
      <c r="B25" s="122" t="s">
        <v>15</v>
      </c>
      <c r="C25" s="338">
        <f>SUM(C26:C28)</f>
        <v>1394555</v>
      </c>
      <c r="D25" s="338">
        <f t="shared" ref="D25:H25" si="9">SUM(D26:D28)</f>
        <v>1289051.5</v>
      </c>
      <c r="E25" s="338">
        <f t="shared" si="9"/>
        <v>454729.79160000006</v>
      </c>
      <c r="F25" s="338">
        <f t="shared" si="9"/>
        <v>665204.9203</v>
      </c>
      <c r="G25" s="338">
        <f t="shared" si="9"/>
        <v>1067503.7720000001</v>
      </c>
      <c r="H25" s="338">
        <f t="shared" si="9"/>
        <v>1402227.3847000003</v>
      </c>
      <c r="I25" s="118">
        <f t="shared" si="1"/>
        <v>113175.88470000029</v>
      </c>
      <c r="J25" s="119">
        <f t="shared" si="3"/>
        <v>8.7797799156977274E-2</v>
      </c>
      <c r="K25" s="120"/>
    </row>
    <row r="26" spans="1:11" x14ac:dyDescent="0.2">
      <c r="A26" s="124" t="s">
        <v>291</v>
      </c>
      <c r="B26" s="125" t="s">
        <v>145</v>
      </c>
      <c r="C26" s="339">
        <f>1238240-80000</f>
        <v>1158240</v>
      </c>
      <c r="D26" s="339">
        <v>1064347.71</v>
      </c>
      <c r="E26" s="339">
        <v>387037.24400000006</v>
      </c>
      <c r="F26" s="339">
        <v>547514.63800000004</v>
      </c>
      <c r="G26" s="339">
        <v>893175.44800000009</v>
      </c>
      <c r="H26" s="339">
        <v>1170782.4810000001</v>
      </c>
      <c r="I26" s="126">
        <f t="shared" si="1"/>
        <v>106434.77100000018</v>
      </c>
      <c r="J26" s="127">
        <f t="shared" si="3"/>
        <v>0.10000000000000017</v>
      </c>
      <c r="K26" s="375" t="s">
        <v>673</v>
      </c>
    </row>
    <row r="27" spans="1:11" x14ac:dyDescent="0.2">
      <c r="A27" s="124" t="s">
        <v>292</v>
      </c>
      <c r="B27" s="125" t="s">
        <v>146</v>
      </c>
      <c r="C27" s="339"/>
      <c r="D27" s="339">
        <v>0</v>
      </c>
      <c r="E27" s="339">
        <v>0</v>
      </c>
      <c r="F27" s="339">
        <v>0</v>
      </c>
      <c r="G27" s="339">
        <v>0</v>
      </c>
      <c r="H27" s="339">
        <v>0</v>
      </c>
      <c r="I27" s="126">
        <f t="shared" si="1"/>
        <v>0</v>
      </c>
      <c r="J27" s="127" t="str">
        <f t="shared" si="3"/>
        <v>-</v>
      </c>
      <c r="K27" s="14"/>
    </row>
    <row r="28" spans="1:11" x14ac:dyDescent="0.2">
      <c r="A28" s="124" t="s">
        <v>147</v>
      </c>
      <c r="B28" s="125" t="s">
        <v>16</v>
      </c>
      <c r="C28" s="339">
        <f>259810-1872-21623</f>
        <v>236315</v>
      </c>
      <c r="D28" s="339">
        <v>224703.78999999998</v>
      </c>
      <c r="E28" s="339">
        <v>67692.547600000005</v>
      </c>
      <c r="F28" s="339">
        <v>117690.28230000001</v>
      </c>
      <c r="G28" s="339">
        <v>174328.32400000002</v>
      </c>
      <c r="H28" s="339">
        <v>231444.90370000005</v>
      </c>
      <c r="I28" s="126">
        <f t="shared" si="1"/>
        <v>6741.1137000000745</v>
      </c>
      <c r="J28" s="127">
        <f t="shared" si="3"/>
        <v>3.0000000000000335E-2</v>
      </c>
      <c r="K28" s="293"/>
    </row>
    <row r="29" spans="1:11" ht="19.5" x14ac:dyDescent="0.2">
      <c r="A29" s="129" t="s">
        <v>150</v>
      </c>
      <c r="B29" s="130" t="s">
        <v>17</v>
      </c>
      <c r="C29" s="342">
        <v>355133</v>
      </c>
      <c r="D29" s="342">
        <v>315558.73</v>
      </c>
      <c r="E29" s="342">
        <v>93269.311900000001</v>
      </c>
      <c r="F29" s="342">
        <v>166047.05190000002</v>
      </c>
      <c r="G29" s="342">
        <v>250787.21190000002</v>
      </c>
      <c r="H29" s="342">
        <v>325025.49190000002</v>
      </c>
      <c r="I29" s="131">
        <f t="shared" si="1"/>
        <v>9466.7619000000414</v>
      </c>
      <c r="J29" s="132">
        <f t="shared" si="3"/>
        <v>3.0000000000000134E-2</v>
      </c>
      <c r="K29" s="293"/>
    </row>
    <row r="30" spans="1:11" ht="37.5" x14ac:dyDescent="0.2">
      <c r="A30" s="129" t="s">
        <v>151</v>
      </c>
      <c r="B30" s="130" t="s">
        <v>18</v>
      </c>
      <c r="C30" s="342">
        <v>317022</v>
      </c>
      <c r="D30" s="342">
        <v>298417.52999999997</v>
      </c>
      <c r="E30" s="342">
        <v>80772.023199999996</v>
      </c>
      <c r="F30" s="342">
        <v>146834.03960000002</v>
      </c>
      <c r="G30" s="342">
        <v>238445.07210000002</v>
      </c>
      <c r="H30" s="342">
        <v>307370.05590000004</v>
      </c>
      <c r="I30" s="131">
        <f t="shared" si="1"/>
        <v>8952.525900000066</v>
      </c>
      <c r="J30" s="132">
        <f t="shared" si="3"/>
        <v>3.0000000000000224E-2</v>
      </c>
      <c r="K30" s="293"/>
    </row>
    <row r="31" spans="1:11" ht="19.5" x14ac:dyDescent="0.2">
      <c r="A31" s="129" t="s">
        <v>152</v>
      </c>
      <c r="B31" s="130" t="s">
        <v>19</v>
      </c>
      <c r="C31" s="342"/>
      <c r="D31" s="342">
        <v>0</v>
      </c>
      <c r="E31" s="342">
        <v>0</v>
      </c>
      <c r="F31" s="342">
        <v>0</v>
      </c>
      <c r="G31" s="342">
        <v>0</v>
      </c>
      <c r="H31" s="342">
        <v>0</v>
      </c>
      <c r="I31" s="131">
        <f t="shared" si="1"/>
        <v>0</v>
      </c>
      <c r="J31" s="132" t="str">
        <f t="shared" si="3"/>
        <v>-</v>
      </c>
      <c r="K31" s="15"/>
    </row>
    <row r="32" spans="1:11" s="134" customFormat="1" ht="19.5" x14ac:dyDescent="0.2">
      <c r="A32" s="129" t="s">
        <v>153</v>
      </c>
      <c r="B32" s="133" t="s">
        <v>20</v>
      </c>
      <c r="C32" s="342">
        <v>157577</v>
      </c>
      <c r="D32" s="343">
        <v>151034</v>
      </c>
      <c r="E32" s="342">
        <v>43009.71</v>
      </c>
      <c r="F32" s="342">
        <v>79218.33</v>
      </c>
      <c r="G32" s="342">
        <v>121144.48</v>
      </c>
      <c r="H32" s="342">
        <v>155565.01999999999</v>
      </c>
      <c r="I32" s="131">
        <f t="shared" si="1"/>
        <v>4531.0199999999895</v>
      </c>
      <c r="J32" s="132">
        <f t="shared" si="3"/>
        <v>2.999999999999993E-2</v>
      </c>
      <c r="K32" s="293"/>
    </row>
    <row r="33" spans="1:11" s="134" customFormat="1" ht="37.5" x14ac:dyDescent="0.2">
      <c r="A33" s="135" t="s">
        <v>154</v>
      </c>
      <c r="B33" s="136" t="s">
        <v>334</v>
      </c>
      <c r="C33" s="344">
        <f>269720*1.01</f>
        <v>272417.2</v>
      </c>
      <c r="D33" s="345">
        <v>227912.14999999997</v>
      </c>
      <c r="E33" s="344">
        <v>49734</v>
      </c>
      <c r="F33" s="344">
        <v>99468</v>
      </c>
      <c r="G33" s="344">
        <v>149202</v>
      </c>
      <c r="H33" s="344">
        <v>200928</v>
      </c>
      <c r="I33" s="137">
        <f t="shared" si="1"/>
        <v>-26984.149999999965</v>
      </c>
      <c r="J33" s="138">
        <f t="shared" si="3"/>
        <v>-0.11839715434214441</v>
      </c>
      <c r="K33" s="375" t="s">
        <v>669</v>
      </c>
    </row>
    <row r="34" spans="1:11" ht="37.5" x14ac:dyDescent="0.2">
      <c r="A34" s="116" t="s">
        <v>21</v>
      </c>
      <c r="B34" s="117" t="s">
        <v>344</v>
      </c>
      <c r="C34" s="338">
        <f>C35+C59+C150</f>
        <v>18195167.199999999</v>
      </c>
      <c r="D34" s="338">
        <f t="shared" ref="D34:H34" si="10">D35+D59+D150</f>
        <v>18212246.659999996</v>
      </c>
      <c r="E34" s="338">
        <f t="shared" si="10"/>
        <v>5168732.8146000002</v>
      </c>
      <c r="F34" s="338">
        <f t="shared" si="10"/>
        <v>10155240.918400001</v>
      </c>
      <c r="G34" s="338">
        <f t="shared" si="10"/>
        <v>15502564.552699998</v>
      </c>
      <c r="H34" s="338">
        <f t="shared" si="10"/>
        <v>21444158.740300003</v>
      </c>
      <c r="I34" s="118">
        <f t="shared" si="1"/>
        <v>3231912.080300007</v>
      </c>
      <c r="J34" s="119">
        <f t="shared" si="3"/>
        <v>0.17745817639282993</v>
      </c>
      <c r="K34" s="120"/>
    </row>
    <row r="35" spans="1:11" s="123" customFormat="1" ht="19.5" x14ac:dyDescent="0.2">
      <c r="A35" s="116" t="s">
        <v>22</v>
      </c>
      <c r="B35" s="122" t="s">
        <v>23</v>
      </c>
      <c r="C35" s="338">
        <f t="shared" ref="C35:H35" si="11">C36+C51</f>
        <v>10628249</v>
      </c>
      <c r="D35" s="338">
        <f t="shared" si="11"/>
        <v>11329739.289999997</v>
      </c>
      <c r="E35" s="338">
        <f t="shared" si="11"/>
        <v>3141017.05</v>
      </c>
      <c r="F35" s="338">
        <f t="shared" si="11"/>
        <v>6487884.6800000006</v>
      </c>
      <c r="G35" s="338">
        <f t="shared" si="11"/>
        <v>9840731.9799999986</v>
      </c>
      <c r="H35" s="338">
        <f t="shared" si="11"/>
        <v>13939704.670000002</v>
      </c>
      <c r="I35" s="118">
        <f t="shared" si="1"/>
        <v>2609965.3800000045</v>
      </c>
      <c r="J35" s="119">
        <f t="shared" si="3"/>
        <v>0.23036411634852413</v>
      </c>
      <c r="K35" s="120"/>
    </row>
    <row r="36" spans="1:11" s="123" customFormat="1" ht="19.5" x14ac:dyDescent="0.2">
      <c r="A36" s="116">
        <v>1100</v>
      </c>
      <c r="B36" s="139" t="s">
        <v>24</v>
      </c>
      <c r="C36" s="338">
        <f>C37+C40+C50+C49</f>
        <v>8507297</v>
      </c>
      <c r="D36" s="338">
        <f t="shared" ref="D36:H36" si="12">D37+D40+D50+D49</f>
        <v>9069883.5299999975</v>
      </c>
      <c r="E36" s="338">
        <f t="shared" si="12"/>
        <v>2501796.77</v>
      </c>
      <c r="F36" s="338">
        <f t="shared" si="12"/>
        <v>5179359.4000000004</v>
      </c>
      <c r="G36" s="338">
        <f t="shared" si="12"/>
        <v>7850838.6999999993</v>
      </c>
      <c r="H36" s="338">
        <f t="shared" si="12"/>
        <v>11132060.390000001</v>
      </c>
      <c r="I36" s="118">
        <f t="shared" si="1"/>
        <v>2062176.8600000031</v>
      </c>
      <c r="J36" s="119">
        <f t="shared" si="3"/>
        <v>0.22736530774392466</v>
      </c>
      <c r="K36" s="120"/>
    </row>
    <row r="37" spans="1:11" x14ac:dyDescent="0.2">
      <c r="A37" s="140">
        <v>1110</v>
      </c>
      <c r="B37" s="141" t="s">
        <v>25</v>
      </c>
      <c r="C37" s="346">
        <f>SUM(C38:C39)</f>
        <v>6177443</v>
      </c>
      <c r="D37" s="346">
        <f>6211494.6+100</f>
        <v>6211594.5999999996</v>
      </c>
      <c r="E37" s="346">
        <v>1864081.38</v>
      </c>
      <c r="F37" s="346">
        <v>3855748.1799999997</v>
      </c>
      <c r="G37" s="346">
        <v>5871528.1799999997</v>
      </c>
      <c r="H37" s="346">
        <v>7862911.4699999997</v>
      </c>
      <c r="I37" s="126">
        <f t="shared" si="1"/>
        <v>1651316.87</v>
      </c>
      <c r="J37" s="127">
        <f t="shared" si="3"/>
        <v>0.26584427612194783</v>
      </c>
      <c r="K37" s="401" t="s">
        <v>687</v>
      </c>
    </row>
    <row r="38" spans="1:11" x14ac:dyDescent="0.2">
      <c r="A38" s="142">
        <v>1111</v>
      </c>
      <c r="B38" s="143" t="s">
        <v>328</v>
      </c>
      <c r="C38" s="339">
        <v>109090</v>
      </c>
      <c r="D38" s="339">
        <v>0</v>
      </c>
      <c r="E38" s="339">
        <v>32538</v>
      </c>
      <c r="F38" s="339">
        <v>65076</v>
      </c>
      <c r="G38" s="339">
        <v>97614</v>
      </c>
      <c r="H38" s="339">
        <v>130152</v>
      </c>
      <c r="I38" s="126">
        <f t="shared" si="1"/>
        <v>130152</v>
      </c>
      <c r="J38" s="127" t="str">
        <f t="shared" si="3"/>
        <v>-</v>
      </c>
      <c r="K38" s="398"/>
    </row>
    <row r="39" spans="1:11" x14ac:dyDescent="0.2">
      <c r="A39" s="142">
        <v>1112</v>
      </c>
      <c r="B39" s="143" t="s">
        <v>329</v>
      </c>
      <c r="C39" s="339">
        <v>6068353</v>
      </c>
      <c r="D39" s="339">
        <v>0</v>
      </c>
      <c r="E39" s="339">
        <v>1831543.38</v>
      </c>
      <c r="F39" s="339">
        <v>3790672.1799999997</v>
      </c>
      <c r="G39" s="339">
        <v>5773914.1799999997</v>
      </c>
      <c r="H39" s="339">
        <v>7732759.4699999997</v>
      </c>
      <c r="I39" s="126">
        <f t="shared" si="1"/>
        <v>7732759.4699999997</v>
      </c>
      <c r="J39" s="127" t="str">
        <f t="shared" si="3"/>
        <v>-</v>
      </c>
      <c r="K39" s="401" t="s">
        <v>687</v>
      </c>
    </row>
    <row r="40" spans="1:11" s="123" customFormat="1" ht="19.5" x14ac:dyDescent="0.2">
      <c r="A40" s="116">
        <v>1140</v>
      </c>
      <c r="B40" s="144" t="s">
        <v>155</v>
      </c>
      <c r="C40" s="338">
        <f t="shared" ref="C40:H40" si="13">SUM(C41:C48)</f>
        <v>2272256</v>
      </c>
      <c r="D40" s="338">
        <f t="shared" si="13"/>
        <v>2793007.1399999997</v>
      </c>
      <c r="E40" s="338">
        <f t="shared" si="13"/>
        <v>618060.39</v>
      </c>
      <c r="F40" s="338">
        <f t="shared" si="13"/>
        <v>1287189.2200000002</v>
      </c>
      <c r="G40" s="338">
        <f t="shared" si="13"/>
        <v>1925179.52</v>
      </c>
      <c r="H40" s="338">
        <f t="shared" si="13"/>
        <v>3202080.4200000004</v>
      </c>
      <c r="I40" s="118">
        <f t="shared" si="1"/>
        <v>409073.28000000073</v>
      </c>
      <c r="J40" s="119">
        <f t="shared" si="3"/>
        <v>0.14646338498082062</v>
      </c>
      <c r="K40" s="400"/>
    </row>
    <row r="41" spans="1:11" s="123" customFormat="1" x14ac:dyDescent="0.2">
      <c r="A41" s="142">
        <v>1141</v>
      </c>
      <c r="B41" s="145" t="s">
        <v>148</v>
      </c>
      <c r="C41" s="339">
        <v>390199</v>
      </c>
      <c r="D41" s="339">
        <v>390268.78</v>
      </c>
      <c r="E41" s="339">
        <v>125816.48999999999</v>
      </c>
      <c r="F41" s="339">
        <v>253658.18</v>
      </c>
      <c r="G41" s="339">
        <v>380701.18</v>
      </c>
      <c r="H41" s="339">
        <v>504360.18</v>
      </c>
      <c r="I41" s="126">
        <f t="shared" si="1"/>
        <v>114091.39999999997</v>
      </c>
      <c r="J41" s="127">
        <f t="shared" si="3"/>
        <v>0.2923405761536958</v>
      </c>
      <c r="K41" s="401" t="s">
        <v>688</v>
      </c>
    </row>
    <row r="42" spans="1:11" s="123" customFormat="1" ht="75" x14ac:dyDescent="0.2">
      <c r="A42" s="142">
        <v>1142</v>
      </c>
      <c r="B42" s="145" t="s">
        <v>26</v>
      </c>
      <c r="C42" s="339">
        <v>477373</v>
      </c>
      <c r="D42" s="339">
        <v>478746</v>
      </c>
      <c r="E42" s="339">
        <v>144477.4</v>
      </c>
      <c r="F42" s="339">
        <v>337923.4</v>
      </c>
      <c r="G42" s="339">
        <v>480292.4</v>
      </c>
      <c r="H42" s="339">
        <v>653937.4</v>
      </c>
      <c r="I42" s="126">
        <f t="shared" si="1"/>
        <v>175191.40000000002</v>
      </c>
      <c r="J42" s="127">
        <f t="shared" si="3"/>
        <v>0.3659380966107289</v>
      </c>
      <c r="K42" s="401" t="s">
        <v>689</v>
      </c>
    </row>
    <row r="43" spans="1:11" s="123" customFormat="1" x14ac:dyDescent="0.2">
      <c r="A43" s="142">
        <v>1144</v>
      </c>
      <c r="B43" s="145" t="s">
        <v>27</v>
      </c>
      <c r="C43" s="339">
        <v>0</v>
      </c>
      <c r="D43" s="339"/>
      <c r="E43" s="339">
        <v>0</v>
      </c>
      <c r="F43" s="339">
        <v>0</v>
      </c>
      <c r="G43" s="339">
        <v>0</v>
      </c>
      <c r="H43" s="339">
        <v>0</v>
      </c>
      <c r="I43" s="126">
        <f t="shared" si="1"/>
        <v>0</v>
      </c>
      <c r="J43" s="127" t="str">
        <f t="shared" si="3"/>
        <v>-</v>
      </c>
      <c r="K43" s="398"/>
    </row>
    <row r="44" spans="1:11" s="123" customFormat="1" ht="37.5" x14ac:dyDescent="0.2">
      <c r="A44" s="142">
        <v>1145</v>
      </c>
      <c r="B44" s="145" t="s">
        <v>156</v>
      </c>
      <c r="C44" s="339">
        <v>1066675</v>
      </c>
      <c r="D44" s="339">
        <v>1102687.3199999998</v>
      </c>
      <c r="E44" s="339">
        <v>275330</v>
      </c>
      <c r="F44" s="339">
        <v>553329.76</v>
      </c>
      <c r="G44" s="339">
        <v>864302.76</v>
      </c>
      <c r="H44" s="339">
        <v>1191509.76</v>
      </c>
      <c r="I44" s="126">
        <f t="shared" si="1"/>
        <v>88822.440000000177</v>
      </c>
      <c r="J44" s="127">
        <f t="shared" si="3"/>
        <v>8.0550885449558074E-2</v>
      </c>
      <c r="K44" s="401" t="s">
        <v>690</v>
      </c>
    </row>
    <row r="45" spans="1:11" s="123" customFormat="1" ht="37.5" x14ac:dyDescent="0.2">
      <c r="A45" s="142">
        <v>1146</v>
      </c>
      <c r="B45" s="145" t="s">
        <v>28</v>
      </c>
      <c r="C45" s="339">
        <v>51948</v>
      </c>
      <c r="D45" s="339">
        <v>51328.119999999995</v>
      </c>
      <c r="E45" s="339">
        <v>17085.099999999999</v>
      </c>
      <c r="F45" s="339">
        <v>33550.1</v>
      </c>
      <c r="G45" s="339">
        <v>48662.7</v>
      </c>
      <c r="H45" s="339">
        <v>64555.7</v>
      </c>
      <c r="I45" s="126">
        <f t="shared" si="1"/>
        <v>13227.580000000002</v>
      </c>
      <c r="J45" s="127">
        <f t="shared" si="3"/>
        <v>0.25770630212055307</v>
      </c>
      <c r="K45" s="401" t="s">
        <v>690</v>
      </c>
    </row>
    <row r="46" spans="1:11" s="123" customFormat="1" x14ac:dyDescent="0.2">
      <c r="A46" s="142">
        <v>1147</v>
      </c>
      <c r="B46" s="145" t="s">
        <v>29</v>
      </c>
      <c r="C46" s="339">
        <v>75481</v>
      </c>
      <c r="D46" s="339">
        <v>77979</v>
      </c>
      <c r="E46" s="339">
        <v>20582</v>
      </c>
      <c r="F46" s="339">
        <v>40775</v>
      </c>
      <c r="G46" s="339">
        <v>57984.6</v>
      </c>
      <c r="H46" s="339">
        <v>83674.180000000008</v>
      </c>
      <c r="I46" s="126">
        <f t="shared" si="1"/>
        <v>5695.1800000000076</v>
      </c>
      <c r="J46" s="127">
        <f t="shared" si="3"/>
        <v>7.3034791418202433E-2</v>
      </c>
      <c r="K46" s="401" t="s">
        <v>690</v>
      </c>
    </row>
    <row r="47" spans="1:11" s="123" customFormat="1" x14ac:dyDescent="0.2">
      <c r="A47" s="142">
        <v>1148</v>
      </c>
      <c r="B47" s="145" t="s">
        <v>157</v>
      </c>
      <c r="C47" s="339">
        <v>84865</v>
      </c>
      <c r="D47" s="339">
        <v>574986</v>
      </c>
      <c r="E47" s="339">
        <v>0</v>
      </c>
      <c r="F47" s="339">
        <v>0</v>
      </c>
      <c r="G47" s="339">
        <v>0</v>
      </c>
      <c r="H47" s="339">
        <v>574986</v>
      </c>
      <c r="I47" s="126">
        <f t="shared" si="1"/>
        <v>0</v>
      </c>
      <c r="J47" s="127">
        <f t="shared" si="3"/>
        <v>0</v>
      </c>
      <c r="K47" s="398"/>
    </row>
    <row r="48" spans="1:11" s="123" customFormat="1" ht="37.5" x14ac:dyDescent="0.2">
      <c r="A48" s="142">
        <v>1149</v>
      </c>
      <c r="B48" s="145" t="s">
        <v>30</v>
      </c>
      <c r="C48" s="340">
        <v>125715</v>
      </c>
      <c r="D48" s="339">
        <v>117011.92</v>
      </c>
      <c r="E48" s="340">
        <v>34769.4</v>
      </c>
      <c r="F48" s="340">
        <v>67952.78</v>
      </c>
      <c r="G48" s="340">
        <v>93235.88</v>
      </c>
      <c r="H48" s="340">
        <v>129057.2</v>
      </c>
      <c r="I48" s="113">
        <f t="shared" si="1"/>
        <v>12045.279999999999</v>
      </c>
      <c r="J48" s="146">
        <f t="shared" si="3"/>
        <v>0.10294062348519706</v>
      </c>
      <c r="K48" s="401" t="s">
        <v>690</v>
      </c>
    </row>
    <row r="49" spans="1:11" s="123" customFormat="1" ht="56.25" x14ac:dyDescent="0.2">
      <c r="A49" s="140">
        <v>1150</v>
      </c>
      <c r="B49" s="147" t="s">
        <v>31</v>
      </c>
      <c r="C49" s="339">
        <v>57598</v>
      </c>
      <c r="D49" s="347">
        <v>65281.79</v>
      </c>
      <c r="E49" s="339">
        <v>19655</v>
      </c>
      <c r="F49" s="339">
        <v>36422</v>
      </c>
      <c r="G49" s="339">
        <v>54131</v>
      </c>
      <c r="H49" s="339">
        <v>67068.5</v>
      </c>
      <c r="I49" s="126">
        <f t="shared" si="1"/>
        <v>1786.7099999999991</v>
      </c>
      <c r="J49" s="127">
        <f t="shared" si="3"/>
        <v>2.7369194380239867E-2</v>
      </c>
      <c r="K49" s="398"/>
    </row>
    <row r="50" spans="1:11" s="123" customFormat="1" ht="19.5" x14ac:dyDescent="0.2">
      <c r="A50" s="140">
        <v>1170</v>
      </c>
      <c r="B50" s="148" t="s">
        <v>32</v>
      </c>
      <c r="C50" s="342"/>
      <c r="D50" s="342">
        <v>0</v>
      </c>
      <c r="E50" s="342">
        <v>0</v>
      </c>
      <c r="F50" s="342">
        <v>0</v>
      </c>
      <c r="G50" s="342">
        <v>0</v>
      </c>
      <c r="H50" s="342">
        <v>0</v>
      </c>
      <c r="I50" s="131">
        <f t="shared" si="1"/>
        <v>0</v>
      </c>
      <c r="J50" s="132" t="str">
        <f t="shared" si="3"/>
        <v>-</v>
      </c>
      <c r="K50" s="399"/>
    </row>
    <row r="51" spans="1:11" s="123" customFormat="1" ht="56.25" x14ac:dyDescent="0.2">
      <c r="A51" s="116">
        <v>1200</v>
      </c>
      <c r="B51" s="144" t="s">
        <v>33</v>
      </c>
      <c r="C51" s="338">
        <f t="shared" ref="C51:H51" si="14">SUM(C52+C53)</f>
        <v>2120952</v>
      </c>
      <c r="D51" s="338">
        <f t="shared" si="14"/>
        <v>2259855.7600000002</v>
      </c>
      <c r="E51" s="338">
        <f t="shared" si="14"/>
        <v>639220.28</v>
      </c>
      <c r="F51" s="338">
        <f t="shared" si="14"/>
        <v>1308525.28</v>
      </c>
      <c r="G51" s="338">
        <f t="shared" si="14"/>
        <v>1989893.28</v>
      </c>
      <c r="H51" s="338">
        <f t="shared" si="14"/>
        <v>2807644.2800000003</v>
      </c>
      <c r="I51" s="118">
        <f t="shared" si="1"/>
        <v>547788.52</v>
      </c>
      <c r="J51" s="119">
        <f t="shared" si="3"/>
        <v>0.24239977156772163</v>
      </c>
      <c r="K51" s="400"/>
    </row>
    <row r="52" spans="1:11" s="123" customFormat="1" ht="37.5" x14ac:dyDescent="0.2">
      <c r="A52" s="140">
        <v>1210</v>
      </c>
      <c r="B52" s="147" t="s">
        <v>34</v>
      </c>
      <c r="C52" s="342">
        <v>2052662</v>
      </c>
      <c r="D52" s="342">
        <v>2179470.8400000003</v>
      </c>
      <c r="E52" s="342">
        <v>606307.28</v>
      </c>
      <c r="F52" s="342">
        <v>1261268.28</v>
      </c>
      <c r="G52" s="342">
        <v>1925243.28</v>
      </c>
      <c r="H52" s="342">
        <v>2719890.2800000003</v>
      </c>
      <c r="I52" s="131">
        <f t="shared" si="1"/>
        <v>540419.43999999994</v>
      </c>
      <c r="J52" s="132">
        <f t="shared" si="3"/>
        <v>0.24795901375766966</v>
      </c>
      <c r="K52" s="401" t="s">
        <v>690</v>
      </c>
    </row>
    <row r="53" spans="1:11" s="123" customFormat="1" ht="37.5" x14ac:dyDescent="0.2">
      <c r="A53" s="149">
        <v>1220</v>
      </c>
      <c r="B53" s="150" t="s">
        <v>35</v>
      </c>
      <c r="C53" s="348">
        <f t="shared" ref="C53:H53" si="15">SUM(C54:C58)</f>
        <v>68290</v>
      </c>
      <c r="D53" s="348">
        <f t="shared" si="15"/>
        <v>80384.92</v>
      </c>
      <c r="E53" s="348">
        <f t="shared" si="15"/>
        <v>32913</v>
      </c>
      <c r="F53" s="348">
        <f t="shared" si="15"/>
        <v>47257</v>
      </c>
      <c r="G53" s="348">
        <f t="shared" si="15"/>
        <v>64650</v>
      </c>
      <c r="H53" s="348">
        <f t="shared" si="15"/>
        <v>87754</v>
      </c>
      <c r="I53" s="151">
        <f t="shared" si="1"/>
        <v>7369.0800000000017</v>
      </c>
      <c r="J53" s="152">
        <f t="shared" si="3"/>
        <v>9.167241816002307E-2</v>
      </c>
      <c r="K53" s="401" t="s">
        <v>690</v>
      </c>
    </row>
    <row r="54" spans="1:11" s="123" customFormat="1" ht="75" x14ac:dyDescent="0.2">
      <c r="A54" s="142">
        <v>1221</v>
      </c>
      <c r="B54" s="145" t="s">
        <v>36</v>
      </c>
      <c r="C54" s="339">
        <v>68290</v>
      </c>
      <c r="D54" s="339">
        <v>80264.92</v>
      </c>
      <c r="E54" s="339">
        <v>32913</v>
      </c>
      <c r="F54" s="339">
        <v>47257</v>
      </c>
      <c r="G54" s="339">
        <v>64650</v>
      </c>
      <c r="H54" s="339">
        <v>87634</v>
      </c>
      <c r="I54" s="126">
        <f t="shared" si="1"/>
        <v>7369.0800000000017</v>
      </c>
      <c r="J54" s="127">
        <f t="shared" si="3"/>
        <v>9.1809472930391031E-2</v>
      </c>
      <c r="K54" s="401" t="s">
        <v>690</v>
      </c>
    </row>
    <row r="55" spans="1:11" s="123" customFormat="1" ht="37.5" hidden="1" x14ac:dyDescent="0.2">
      <c r="A55" s="142">
        <v>1222</v>
      </c>
      <c r="B55" s="145" t="s">
        <v>37</v>
      </c>
      <c r="C55" s="339"/>
      <c r="D55" s="339">
        <v>0</v>
      </c>
      <c r="E55" s="339">
        <v>0</v>
      </c>
      <c r="F55" s="339">
        <v>0</v>
      </c>
      <c r="G55" s="339">
        <v>0</v>
      </c>
      <c r="H55" s="339">
        <v>0</v>
      </c>
      <c r="I55" s="126">
        <f t="shared" si="1"/>
        <v>0</v>
      </c>
      <c r="J55" s="127" t="str">
        <f t="shared" si="3"/>
        <v>-</v>
      </c>
      <c r="K55" s="304"/>
    </row>
    <row r="56" spans="1:11" s="123" customFormat="1" hidden="1" x14ac:dyDescent="0.2">
      <c r="A56" s="142">
        <v>1223</v>
      </c>
      <c r="B56" s="153" t="s">
        <v>38</v>
      </c>
      <c r="C56" s="339"/>
      <c r="D56" s="339">
        <v>0</v>
      </c>
      <c r="E56" s="339">
        <v>0</v>
      </c>
      <c r="F56" s="339">
        <v>0</v>
      </c>
      <c r="G56" s="339">
        <v>0</v>
      </c>
      <c r="H56" s="339">
        <v>0</v>
      </c>
      <c r="I56" s="126">
        <f t="shared" si="1"/>
        <v>0</v>
      </c>
      <c r="J56" s="127" t="str">
        <f t="shared" si="3"/>
        <v>-</v>
      </c>
      <c r="K56" s="304"/>
    </row>
    <row r="57" spans="1:11" s="123" customFormat="1" ht="37.5" hidden="1" x14ac:dyDescent="0.2">
      <c r="A57" s="142">
        <v>1227</v>
      </c>
      <c r="B57" s="145" t="s">
        <v>39</v>
      </c>
      <c r="C57" s="339"/>
      <c r="D57" s="339">
        <v>0</v>
      </c>
      <c r="E57" s="339">
        <v>0</v>
      </c>
      <c r="F57" s="339">
        <v>0</v>
      </c>
      <c r="G57" s="339">
        <v>0</v>
      </c>
      <c r="H57" s="339">
        <v>0</v>
      </c>
      <c r="I57" s="126">
        <f t="shared" si="1"/>
        <v>0</v>
      </c>
      <c r="J57" s="127" t="str">
        <f t="shared" si="3"/>
        <v>-</v>
      </c>
      <c r="K57" s="304"/>
    </row>
    <row r="58" spans="1:11" s="123" customFormat="1" ht="75" x14ac:dyDescent="0.2">
      <c r="A58" s="142">
        <v>1228</v>
      </c>
      <c r="B58" s="145" t="s">
        <v>333</v>
      </c>
      <c r="C58" s="339"/>
      <c r="D58" s="339">
        <v>120</v>
      </c>
      <c r="E58" s="339">
        <v>0</v>
      </c>
      <c r="F58" s="339">
        <v>0</v>
      </c>
      <c r="G58" s="339">
        <v>0</v>
      </c>
      <c r="H58" s="339">
        <v>120</v>
      </c>
      <c r="I58" s="126">
        <f t="shared" si="1"/>
        <v>0</v>
      </c>
      <c r="J58" s="127">
        <f t="shared" si="3"/>
        <v>0</v>
      </c>
      <c r="K58" s="406"/>
    </row>
    <row r="59" spans="1:11" s="123" customFormat="1" ht="19.5" x14ac:dyDescent="0.2">
      <c r="A59" s="116">
        <v>2000</v>
      </c>
      <c r="B59" s="122" t="s">
        <v>40</v>
      </c>
      <c r="C59" s="338">
        <f t="shared" ref="C59:H59" si="16">C60+C67+C103+C139+C149</f>
        <v>7566918.2000000002</v>
      </c>
      <c r="D59" s="338">
        <f t="shared" si="16"/>
        <v>6882507.3700000001</v>
      </c>
      <c r="E59" s="338">
        <f t="shared" si="16"/>
        <v>2027715.7645999999</v>
      </c>
      <c r="F59" s="338">
        <f t="shared" si="16"/>
        <v>3667356.2383999997</v>
      </c>
      <c r="G59" s="338">
        <f t="shared" si="16"/>
        <v>5661832.5726999994</v>
      </c>
      <c r="H59" s="338">
        <f t="shared" si="16"/>
        <v>7504454.0703000007</v>
      </c>
      <c r="I59" s="118">
        <f t="shared" si="1"/>
        <v>621946.70030000061</v>
      </c>
      <c r="J59" s="119">
        <f t="shared" si="3"/>
        <v>9.0366296302273427E-2</v>
      </c>
      <c r="K59" s="120"/>
    </row>
    <row r="60" spans="1:11" s="123" customFormat="1" ht="37.5" x14ac:dyDescent="0.2">
      <c r="A60" s="116">
        <v>2100</v>
      </c>
      <c r="B60" s="122" t="s">
        <v>158</v>
      </c>
      <c r="C60" s="338">
        <f t="shared" ref="C60:H60" si="17">C61+C64</f>
        <v>7750.2</v>
      </c>
      <c r="D60" s="338">
        <f t="shared" si="17"/>
        <v>495</v>
      </c>
      <c r="E60" s="338">
        <f t="shared" si="17"/>
        <v>150</v>
      </c>
      <c r="F60" s="338">
        <f t="shared" si="17"/>
        <v>150</v>
      </c>
      <c r="G60" s="338">
        <f t="shared" si="17"/>
        <v>150</v>
      </c>
      <c r="H60" s="338">
        <f t="shared" si="17"/>
        <v>495</v>
      </c>
      <c r="I60" s="118">
        <f t="shared" si="1"/>
        <v>0</v>
      </c>
      <c r="J60" s="119">
        <f t="shared" si="3"/>
        <v>0</v>
      </c>
      <c r="K60" s="120"/>
    </row>
    <row r="61" spans="1:11" s="123" customFormat="1" ht="37.5" x14ac:dyDescent="0.2">
      <c r="A61" s="154">
        <v>2110</v>
      </c>
      <c r="B61" s="122" t="s">
        <v>41</v>
      </c>
      <c r="C61" s="338">
        <f t="shared" ref="C61:H61" si="18">SUM(C62:C63)</f>
        <v>167</v>
      </c>
      <c r="D61" s="338">
        <f t="shared" si="18"/>
        <v>200</v>
      </c>
      <c r="E61" s="338">
        <f t="shared" si="18"/>
        <v>150</v>
      </c>
      <c r="F61" s="338">
        <f t="shared" si="18"/>
        <v>150</v>
      </c>
      <c r="G61" s="338">
        <f t="shared" si="18"/>
        <v>150</v>
      </c>
      <c r="H61" s="338">
        <f t="shared" si="18"/>
        <v>200</v>
      </c>
      <c r="I61" s="118">
        <f t="shared" si="1"/>
        <v>0</v>
      </c>
      <c r="J61" s="119">
        <f t="shared" si="3"/>
        <v>0</v>
      </c>
      <c r="K61" s="120"/>
    </row>
    <row r="62" spans="1:11" s="123" customFormat="1" x14ac:dyDescent="0.2">
      <c r="A62" s="142">
        <v>2111</v>
      </c>
      <c r="B62" s="125" t="s">
        <v>42</v>
      </c>
      <c r="C62" s="339"/>
      <c r="D62" s="339">
        <v>0</v>
      </c>
      <c r="E62" s="339">
        <v>0</v>
      </c>
      <c r="F62" s="339">
        <v>0</v>
      </c>
      <c r="G62" s="339">
        <v>0</v>
      </c>
      <c r="H62" s="339">
        <v>0</v>
      </c>
      <c r="I62" s="126">
        <f t="shared" si="1"/>
        <v>0</v>
      </c>
      <c r="J62" s="127" t="str">
        <f t="shared" si="3"/>
        <v>-</v>
      </c>
      <c r="K62" s="14"/>
    </row>
    <row r="63" spans="1:11" s="155" customFormat="1" ht="37.5" x14ac:dyDescent="0.2">
      <c r="A63" s="142">
        <v>2112</v>
      </c>
      <c r="B63" s="125" t="s">
        <v>421</v>
      </c>
      <c r="C63" s="339">
        <v>167</v>
      </c>
      <c r="D63" s="339">
        <v>200</v>
      </c>
      <c r="E63" s="339">
        <v>150</v>
      </c>
      <c r="F63" s="339">
        <v>150</v>
      </c>
      <c r="G63" s="339">
        <v>150</v>
      </c>
      <c r="H63" s="339">
        <v>200</v>
      </c>
      <c r="I63" s="126">
        <f t="shared" si="1"/>
        <v>0</v>
      </c>
      <c r="J63" s="127">
        <f t="shared" si="3"/>
        <v>0</v>
      </c>
      <c r="K63" s="14"/>
    </row>
    <row r="64" spans="1:11" s="123" customFormat="1" ht="37.5" x14ac:dyDescent="0.2">
      <c r="A64" s="154">
        <v>2120</v>
      </c>
      <c r="B64" s="122" t="s">
        <v>43</v>
      </c>
      <c r="C64" s="338">
        <f t="shared" ref="C64:H64" si="19">SUM(C65:C66)</f>
        <v>7583.2</v>
      </c>
      <c r="D64" s="338">
        <f t="shared" si="19"/>
        <v>295</v>
      </c>
      <c r="E64" s="338">
        <f t="shared" si="19"/>
        <v>0</v>
      </c>
      <c r="F64" s="338">
        <f t="shared" si="19"/>
        <v>0</v>
      </c>
      <c r="G64" s="338">
        <f t="shared" si="19"/>
        <v>0</v>
      </c>
      <c r="H64" s="338">
        <f t="shared" si="19"/>
        <v>295</v>
      </c>
      <c r="I64" s="118">
        <f t="shared" si="1"/>
        <v>0</v>
      </c>
      <c r="J64" s="119">
        <f t="shared" si="3"/>
        <v>0</v>
      </c>
      <c r="K64" s="120"/>
    </row>
    <row r="65" spans="1:11" s="123" customFormat="1" x14ac:dyDescent="0.2">
      <c r="A65" s="142">
        <v>2121</v>
      </c>
      <c r="B65" s="125" t="s">
        <v>42</v>
      </c>
      <c r="C65" s="339">
        <v>160</v>
      </c>
      <c r="D65" s="339">
        <v>0</v>
      </c>
      <c r="E65" s="339">
        <v>0</v>
      </c>
      <c r="F65" s="339">
        <v>0</v>
      </c>
      <c r="G65" s="339">
        <v>0</v>
      </c>
      <c r="H65" s="339">
        <v>0</v>
      </c>
      <c r="I65" s="126">
        <f t="shared" si="1"/>
        <v>0</v>
      </c>
      <c r="J65" s="127" t="str">
        <f t="shared" si="3"/>
        <v>-</v>
      </c>
      <c r="K65" s="14"/>
    </row>
    <row r="66" spans="1:11" s="155" customFormat="1" ht="37.5" x14ac:dyDescent="0.2">
      <c r="A66" s="142">
        <v>2122</v>
      </c>
      <c r="B66" s="125" t="s">
        <v>421</v>
      </c>
      <c r="C66" s="339">
        <f>6186*1.2</f>
        <v>7423.2</v>
      </c>
      <c r="D66" s="339">
        <v>295</v>
      </c>
      <c r="E66" s="339">
        <v>0</v>
      </c>
      <c r="F66" s="339">
        <v>0</v>
      </c>
      <c r="G66" s="339">
        <v>0</v>
      </c>
      <c r="H66" s="339">
        <v>295</v>
      </c>
      <c r="I66" s="126">
        <f t="shared" si="1"/>
        <v>0</v>
      </c>
      <c r="J66" s="127">
        <f t="shared" si="3"/>
        <v>0</v>
      </c>
      <c r="K66" s="293"/>
    </row>
    <row r="67" spans="1:11" s="123" customFormat="1" ht="19.5" x14ac:dyDescent="0.2">
      <c r="A67" s="116">
        <v>2200</v>
      </c>
      <c r="B67" s="144" t="s">
        <v>44</v>
      </c>
      <c r="C67" s="338">
        <f t="shared" ref="C67:H67" si="20">C68+C69+C75+C83+C90+C91+C97+C102</f>
        <v>1533838</v>
      </c>
      <c r="D67" s="338">
        <f t="shared" si="20"/>
        <v>1343965.98</v>
      </c>
      <c r="E67" s="338">
        <f t="shared" si="20"/>
        <v>418901.46509999997</v>
      </c>
      <c r="F67" s="338">
        <f t="shared" si="20"/>
        <v>814403.23499999987</v>
      </c>
      <c r="G67" s="338">
        <f t="shared" si="20"/>
        <v>1211045.1651999999</v>
      </c>
      <c r="H67" s="338">
        <f t="shared" si="20"/>
        <v>1679774.6540000001</v>
      </c>
      <c r="I67" s="118">
        <f t="shared" ref="I67:I130" si="21">H67-D67</f>
        <v>335808.67400000012</v>
      </c>
      <c r="J67" s="119">
        <f t="shared" ref="J67:J130" si="22">IFERROR(I67/ABS(D67), "-")</f>
        <v>0.24986396902695418</v>
      </c>
      <c r="K67" s="120"/>
    </row>
    <row r="68" spans="1:11" s="123" customFormat="1" ht="19.5" x14ac:dyDescent="0.2">
      <c r="A68" s="154">
        <v>2210</v>
      </c>
      <c r="B68" s="156" t="s">
        <v>422</v>
      </c>
      <c r="C68" s="341">
        <v>15493</v>
      </c>
      <c r="D68" s="341">
        <v>18756.55</v>
      </c>
      <c r="E68" s="341">
        <v>5778</v>
      </c>
      <c r="F68" s="341">
        <v>11556</v>
      </c>
      <c r="G68" s="341">
        <v>17334</v>
      </c>
      <c r="H68" s="341">
        <v>23106</v>
      </c>
      <c r="I68" s="118">
        <f t="shared" si="21"/>
        <v>4349.4500000000007</v>
      </c>
      <c r="J68" s="119">
        <f t="shared" si="22"/>
        <v>0.23188965987881571</v>
      </c>
      <c r="K68" s="13"/>
    </row>
    <row r="69" spans="1:11" s="123" customFormat="1" ht="37.5" x14ac:dyDescent="0.2">
      <c r="A69" s="154">
        <v>2220</v>
      </c>
      <c r="B69" s="144" t="s">
        <v>45</v>
      </c>
      <c r="C69" s="338">
        <f t="shared" ref="C69:H69" si="23">SUM(C70:C74)</f>
        <v>470177</v>
      </c>
      <c r="D69" s="338">
        <f t="shared" si="23"/>
        <v>427806.63000000006</v>
      </c>
      <c r="E69" s="338">
        <f t="shared" si="23"/>
        <v>135317.48910000001</v>
      </c>
      <c r="F69" s="338">
        <f t="shared" si="23"/>
        <v>238589.89300000001</v>
      </c>
      <c r="G69" s="338">
        <f t="shared" si="23"/>
        <v>325165.13320000004</v>
      </c>
      <c r="H69" s="338">
        <f t="shared" si="23"/>
        <v>463696.36800000002</v>
      </c>
      <c r="I69" s="118">
        <f t="shared" si="21"/>
        <v>35889.737999999954</v>
      </c>
      <c r="J69" s="119">
        <f t="shared" si="22"/>
        <v>8.3892430559105516E-2</v>
      </c>
      <c r="K69" s="120"/>
    </row>
    <row r="70" spans="1:11" s="123" customFormat="1" ht="37.5" x14ac:dyDescent="0.2">
      <c r="A70" s="142">
        <v>2221</v>
      </c>
      <c r="B70" s="145" t="s">
        <v>423</v>
      </c>
      <c r="C70" s="340">
        <v>181561</v>
      </c>
      <c r="D70" s="339">
        <v>153765.57</v>
      </c>
      <c r="E70" s="340">
        <v>64222.070000000007</v>
      </c>
      <c r="F70" s="340">
        <v>98346.556000000026</v>
      </c>
      <c r="G70" s="340">
        <v>108829.98500000003</v>
      </c>
      <c r="H70" s="340">
        <v>169142.12700000004</v>
      </c>
      <c r="I70" s="126">
        <f t="shared" si="21"/>
        <v>15376.55700000003</v>
      </c>
      <c r="J70" s="127">
        <f t="shared" si="22"/>
        <v>0.10000000000000019</v>
      </c>
      <c r="K70" s="375" t="s">
        <v>670</v>
      </c>
    </row>
    <row r="71" spans="1:11" s="155" customFormat="1" ht="19.5" x14ac:dyDescent="0.2">
      <c r="A71" s="142">
        <v>2222</v>
      </c>
      <c r="B71" s="145" t="s">
        <v>424</v>
      </c>
      <c r="C71" s="340">
        <v>30853</v>
      </c>
      <c r="D71" s="339">
        <v>29938.710000000006</v>
      </c>
      <c r="E71" s="340">
        <v>7079.85</v>
      </c>
      <c r="F71" s="340">
        <v>14416.410000000002</v>
      </c>
      <c r="G71" s="340">
        <v>22427.970000000005</v>
      </c>
      <c r="H71" s="340">
        <v>29938.710000000006</v>
      </c>
      <c r="I71" s="126">
        <f t="shared" si="21"/>
        <v>0</v>
      </c>
      <c r="J71" s="127">
        <f t="shared" si="22"/>
        <v>0</v>
      </c>
      <c r="K71" s="14"/>
    </row>
    <row r="72" spans="1:11" s="123" customFormat="1" ht="37.5" x14ac:dyDescent="0.2">
      <c r="A72" s="142">
        <v>2223</v>
      </c>
      <c r="B72" s="145" t="s">
        <v>46</v>
      </c>
      <c r="C72" s="340">
        <v>200470</v>
      </c>
      <c r="D72" s="339">
        <v>188430.15</v>
      </c>
      <c r="E72" s="340">
        <v>49431.623999999996</v>
      </c>
      <c r="F72" s="340">
        <v>97782.189999999988</v>
      </c>
      <c r="G72" s="340">
        <v>150684.73199999999</v>
      </c>
      <c r="H72" s="340">
        <v>207273.16499999998</v>
      </c>
      <c r="I72" s="126">
        <f t="shared" si="21"/>
        <v>18843.014999999985</v>
      </c>
      <c r="J72" s="127">
        <f t="shared" si="22"/>
        <v>9.9999999999999922E-2</v>
      </c>
      <c r="K72" s="375" t="s">
        <v>684</v>
      </c>
    </row>
    <row r="73" spans="1:11" s="123" customFormat="1" ht="56.25" x14ac:dyDescent="0.2">
      <c r="A73" s="142">
        <v>2224</v>
      </c>
      <c r="B73" s="145" t="s">
        <v>159</v>
      </c>
      <c r="C73" s="340">
        <v>57293</v>
      </c>
      <c r="D73" s="339">
        <v>55672.19999999999</v>
      </c>
      <c r="E73" s="340">
        <v>14583.945100000001</v>
      </c>
      <c r="F73" s="340">
        <v>28044.737000000001</v>
      </c>
      <c r="G73" s="340">
        <v>43222.446200000006</v>
      </c>
      <c r="H73" s="340">
        <v>57342.366000000009</v>
      </c>
      <c r="I73" s="126">
        <f t="shared" si="21"/>
        <v>1670.1660000000193</v>
      </c>
      <c r="J73" s="127">
        <f t="shared" si="22"/>
        <v>3.0000000000000353E-2</v>
      </c>
      <c r="K73" s="14"/>
    </row>
    <row r="74" spans="1:11" s="123" customFormat="1" ht="37.5" x14ac:dyDescent="0.2">
      <c r="A74" s="142">
        <v>2229</v>
      </c>
      <c r="B74" s="145" t="s">
        <v>47</v>
      </c>
      <c r="C74" s="339"/>
      <c r="D74" s="339">
        <v>0</v>
      </c>
      <c r="E74" s="339">
        <v>0</v>
      </c>
      <c r="F74" s="339">
        <v>0</v>
      </c>
      <c r="G74" s="339">
        <v>0</v>
      </c>
      <c r="H74" s="339">
        <v>0</v>
      </c>
      <c r="I74" s="126">
        <f t="shared" si="21"/>
        <v>0</v>
      </c>
      <c r="J74" s="127" t="str">
        <f t="shared" si="22"/>
        <v>-</v>
      </c>
      <c r="K74" s="14"/>
    </row>
    <row r="75" spans="1:11" s="123" customFormat="1" ht="19.5" x14ac:dyDescent="0.2">
      <c r="A75" s="154">
        <v>2230</v>
      </c>
      <c r="B75" s="144" t="s">
        <v>425</v>
      </c>
      <c r="C75" s="338">
        <f t="shared" ref="C75:H75" si="24">SUM(C76:C82)</f>
        <v>408862</v>
      </c>
      <c r="D75" s="338">
        <f t="shared" si="24"/>
        <v>395728.83999999997</v>
      </c>
      <c r="E75" s="338">
        <f t="shared" si="24"/>
        <v>116087.61199999999</v>
      </c>
      <c r="F75" s="338">
        <f t="shared" si="24"/>
        <v>225715.09999999998</v>
      </c>
      <c r="G75" s="338">
        <f t="shared" si="24"/>
        <v>355716.12</v>
      </c>
      <c r="H75" s="338">
        <f t="shared" si="24"/>
        <v>488214.35799999995</v>
      </c>
      <c r="I75" s="118">
        <f t="shared" si="21"/>
        <v>92485.517999999982</v>
      </c>
      <c r="J75" s="119">
        <f t="shared" si="22"/>
        <v>0.2337093197453084</v>
      </c>
      <c r="K75" s="120"/>
    </row>
    <row r="76" spans="1:11" s="155" customFormat="1" ht="37.5" x14ac:dyDescent="0.2">
      <c r="A76" s="142">
        <v>2231</v>
      </c>
      <c r="B76" s="145" t="s">
        <v>426</v>
      </c>
      <c r="C76" s="339"/>
      <c r="D76" s="339">
        <v>0</v>
      </c>
      <c r="E76" s="339">
        <v>0</v>
      </c>
      <c r="F76" s="339">
        <v>0</v>
      </c>
      <c r="G76" s="339">
        <v>0</v>
      </c>
      <c r="H76" s="339">
        <v>0</v>
      </c>
      <c r="I76" s="126">
        <f t="shared" si="21"/>
        <v>0</v>
      </c>
      <c r="J76" s="127" t="str">
        <f t="shared" si="22"/>
        <v>-</v>
      </c>
      <c r="K76" s="14"/>
    </row>
    <row r="77" spans="1:11" s="123" customFormat="1" ht="37.5" hidden="1" x14ac:dyDescent="0.2">
      <c r="A77" s="142">
        <v>2232</v>
      </c>
      <c r="B77" s="145" t="s">
        <v>427</v>
      </c>
      <c r="C77" s="339"/>
      <c r="D77" s="339">
        <v>0</v>
      </c>
      <c r="E77" s="339">
        <v>0</v>
      </c>
      <c r="F77" s="339">
        <v>0</v>
      </c>
      <c r="G77" s="339">
        <v>0</v>
      </c>
      <c r="H77" s="339">
        <v>0</v>
      </c>
      <c r="I77" s="126">
        <f t="shared" si="21"/>
        <v>0</v>
      </c>
      <c r="J77" s="127" t="str">
        <f t="shared" si="22"/>
        <v>-</v>
      </c>
      <c r="K77" s="14"/>
    </row>
    <row r="78" spans="1:11" s="123" customFormat="1" ht="37.5" x14ac:dyDescent="0.2">
      <c r="A78" s="142">
        <v>2233</v>
      </c>
      <c r="B78" s="145" t="s">
        <v>48</v>
      </c>
      <c r="C78" s="339">
        <v>3376</v>
      </c>
      <c r="D78" s="339">
        <v>13022.31</v>
      </c>
      <c r="E78" s="339">
        <v>1091.74</v>
      </c>
      <c r="F78" s="339">
        <v>4153.74</v>
      </c>
      <c r="G78" s="339">
        <v>15024.42</v>
      </c>
      <c r="H78" s="339">
        <v>23022.57</v>
      </c>
      <c r="I78" s="126">
        <f t="shared" si="21"/>
        <v>10000.26</v>
      </c>
      <c r="J78" s="127">
        <f t="shared" si="22"/>
        <v>0.76793287826814138</v>
      </c>
      <c r="K78" s="375" t="s">
        <v>676</v>
      </c>
    </row>
    <row r="79" spans="1:11" s="123" customFormat="1" ht="37.5" x14ac:dyDescent="0.2">
      <c r="A79" s="142">
        <v>2234</v>
      </c>
      <c r="B79" s="145" t="s">
        <v>49</v>
      </c>
      <c r="C79" s="339"/>
      <c r="D79" s="339">
        <v>0</v>
      </c>
      <c r="E79" s="339">
        <v>0</v>
      </c>
      <c r="F79" s="339">
        <v>0</v>
      </c>
      <c r="G79" s="339">
        <v>0</v>
      </c>
      <c r="H79" s="339">
        <v>0</v>
      </c>
      <c r="I79" s="126">
        <f t="shared" si="21"/>
        <v>0</v>
      </c>
      <c r="J79" s="127" t="str">
        <f t="shared" si="22"/>
        <v>-</v>
      </c>
      <c r="K79" s="14"/>
    </row>
    <row r="80" spans="1:11" s="123" customFormat="1" ht="37.5" x14ac:dyDescent="0.2">
      <c r="A80" s="142">
        <v>2235</v>
      </c>
      <c r="B80" s="145" t="s">
        <v>428</v>
      </c>
      <c r="C80" s="339">
        <v>3497</v>
      </c>
      <c r="D80" s="339">
        <v>4952.6499999999996</v>
      </c>
      <c r="E80" s="339">
        <v>261.11</v>
      </c>
      <c r="F80" s="339">
        <v>786.11</v>
      </c>
      <c r="G80" s="339">
        <v>959.06999999999994</v>
      </c>
      <c r="H80" s="339">
        <v>4952.6499999999996</v>
      </c>
      <c r="I80" s="126">
        <f t="shared" si="21"/>
        <v>0</v>
      </c>
      <c r="J80" s="127">
        <f t="shared" si="22"/>
        <v>0</v>
      </c>
      <c r="K80" s="14"/>
    </row>
    <row r="81" spans="1:11" s="123" customFormat="1" x14ac:dyDescent="0.2">
      <c r="A81" s="142">
        <v>2236</v>
      </c>
      <c r="B81" s="145" t="s">
        <v>429</v>
      </c>
      <c r="C81" s="339">
        <v>7094</v>
      </c>
      <c r="D81" s="339">
        <v>5327.59</v>
      </c>
      <c r="E81" s="339">
        <v>1592.93</v>
      </c>
      <c r="F81" s="339">
        <v>2480.8500000000004</v>
      </c>
      <c r="G81" s="339">
        <v>4029.3300000000004</v>
      </c>
      <c r="H81" s="339">
        <v>5327.59</v>
      </c>
      <c r="I81" s="126">
        <f t="shared" si="21"/>
        <v>0</v>
      </c>
      <c r="J81" s="127">
        <f t="shared" si="22"/>
        <v>0</v>
      </c>
      <c r="K81" s="14"/>
    </row>
    <row r="82" spans="1:11" s="123" customFormat="1" ht="37.5" x14ac:dyDescent="0.2">
      <c r="A82" s="142">
        <v>2239</v>
      </c>
      <c r="B82" s="145" t="s">
        <v>430</v>
      </c>
      <c r="C82" s="339">
        <v>394895</v>
      </c>
      <c r="D82" s="339">
        <v>372426.29</v>
      </c>
      <c r="E82" s="339">
        <v>113141.83199999999</v>
      </c>
      <c r="F82" s="339">
        <v>218294.39999999997</v>
      </c>
      <c r="G82" s="339">
        <v>335703.3</v>
      </c>
      <c r="H82" s="339">
        <v>454911.54799999995</v>
      </c>
      <c r="I82" s="126">
        <f t="shared" si="21"/>
        <v>82485.257999999973</v>
      </c>
      <c r="J82" s="127">
        <f t="shared" si="22"/>
        <v>0.22148076066273403</v>
      </c>
      <c r="K82" s="375" t="s">
        <v>677</v>
      </c>
    </row>
    <row r="83" spans="1:11" s="155" customFormat="1" ht="37.5" x14ac:dyDescent="0.2">
      <c r="A83" s="154">
        <v>2240</v>
      </c>
      <c r="B83" s="144" t="s">
        <v>160</v>
      </c>
      <c r="C83" s="338">
        <f t="shared" ref="C83:H83" si="25">SUM(C84:C89)</f>
        <v>457240</v>
      </c>
      <c r="D83" s="338">
        <f t="shared" si="25"/>
        <v>295713.31</v>
      </c>
      <c r="E83" s="338">
        <f t="shared" si="25"/>
        <v>98935.453999999998</v>
      </c>
      <c r="F83" s="338">
        <f t="shared" si="25"/>
        <v>213458.32199999999</v>
      </c>
      <c r="G83" s="338">
        <f t="shared" si="25"/>
        <v>325276.39199999999</v>
      </c>
      <c r="H83" s="338">
        <f t="shared" si="25"/>
        <v>454145.22800000006</v>
      </c>
      <c r="I83" s="118">
        <f t="shared" si="21"/>
        <v>158431.91800000006</v>
      </c>
      <c r="J83" s="119">
        <f t="shared" si="22"/>
        <v>0.53576187693411592</v>
      </c>
      <c r="K83" s="120"/>
    </row>
    <row r="84" spans="1:11" s="123" customFormat="1" ht="56.25" x14ac:dyDescent="0.2">
      <c r="A84" s="142">
        <v>2241</v>
      </c>
      <c r="B84" s="145" t="s">
        <v>431</v>
      </c>
      <c r="C84" s="339">
        <f>51989+6000+4000+67000+23000</f>
        <v>151989</v>
      </c>
      <c r="D84" s="339">
        <v>25468.260000000002</v>
      </c>
      <c r="E84" s="339">
        <v>24750</v>
      </c>
      <c r="F84" s="339">
        <v>49500</v>
      </c>
      <c r="G84" s="339">
        <v>79250</v>
      </c>
      <c r="H84" s="339">
        <v>104000</v>
      </c>
      <c r="I84" s="126">
        <f t="shared" si="21"/>
        <v>78531.739999999991</v>
      </c>
      <c r="J84" s="127">
        <f t="shared" si="22"/>
        <v>3.0835141466279983</v>
      </c>
      <c r="K84" s="375" t="s">
        <v>678</v>
      </c>
    </row>
    <row r="85" spans="1:11" s="123" customFormat="1" x14ac:dyDescent="0.2">
      <c r="A85" s="142">
        <v>2242</v>
      </c>
      <c r="B85" s="145" t="s">
        <v>50</v>
      </c>
      <c r="C85" s="339">
        <v>1822</v>
      </c>
      <c r="D85" s="339">
        <v>1616.4899999999998</v>
      </c>
      <c r="E85" s="339">
        <v>127.22999999999999</v>
      </c>
      <c r="F85" s="339">
        <v>596.25</v>
      </c>
      <c r="G85" s="339">
        <v>628.30999999999995</v>
      </c>
      <c r="H85" s="339">
        <v>1616.4899999999998</v>
      </c>
      <c r="I85" s="126">
        <f t="shared" si="21"/>
        <v>0</v>
      </c>
      <c r="J85" s="127">
        <f t="shared" si="22"/>
        <v>0</v>
      </c>
      <c r="K85" s="14"/>
    </row>
    <row r="86" spans="1:11" s="123" customFormat="1" ht="112.5" x14ac:dyDescent="0.2">
      <c r="A86" s="142">
        <v>2243</v>
      </c>
      <c r="B86" s="145" t="s">
        <v>51</v>
      </c>
      <c r="C86" s="339">
        <f>131846+8000</f>
        <v>139846</v>
      </c>
      <c r="D86" s="339">
        <v>144135.74000000002</v>
      </c>
      <c r="E86" s="339">
        <v>53600.784</v>
      </c>
      <c r="F86" s="339">
        <v>103177.39200000001</v>
      </c>
      <c r="G86" s="339">
        <v>151866.25200000001</v>
      </c>
      <c r="H86" s="339">
        <v>207818.88800000001</v>
      </c>
      <c r="I86" s="126">
        <f t="shared" si="21"/>
        <v>63683.147999999986</v>
      </c>
      <c r="J86" s="127">
        <f t="shared" si="22"/>
        <v>0.44182759945590161</v>
      </c>
      <c r="K86" s="375" t="s">
        <v>679</v>
      </c>
    </row>
    <row r="87" spans="1:11" s="123" customFormat="1" x14ac:dyDescent="0.2">
      <c r="A87" s="142">
        <v>2244</v>
      </c>
      <c r="B87" s="145" t="s">
        <v>161</v>
      </c>
      <c r="C87" s="339">
        <v>24576</v>
      </c>
      <c r="D87" s="339">
        <v>31344.940000000002</v>
      </c>
      <c r="E87" s="339">
        <v>4722</v>
      </c>
      <c r="F87" s="339">
        <v>19166.11</v>
      </c>
      <c r="G87" s="339">
        <v>26224.080000000002</v>
      </c>
      <c r="H87" s="339">
        <v>31344.940000000002</v>
      </c>
      <c r="I87" s="126">
        <f t="shared" si="21"/>
        <v>0</v>
      </c>
      <c r="J87" s="127">
        <f t="shared" si="22"/>
        <v>0</v>
      </c>
      <c r="K87" s="14"/>
    </row>
    <row r="88" spans="1:11" s="123" customFormat="1" x14ac:dyDescent="0.2">
      <c r="A88" s="142">
        <v>2247</v>
      </c>
      <c r="B88" s="145" t="s">
        <v>52</v>
      </c>
      <c r="C88" s="339">
        <v>2072</v>
      </c>
      <c r="D88" s="339">
        <v>2593.77</v>
      </c>
      <c r="E88" s="339">
        <v>801.03000000000009</v>
      </c>
      <c r="F88" s="339">
        <v>2254.33</v>
      </c>
      <c r="G88" s="339">
        <v>2452.61</v>
      </c>
      <c r="H88" s="339">
        <v>2593.77</v>
      </c>
      <c r="I88" s="126">
        <f t="shared" si="21"/>
        <v>0</v>
      </c>
      <c r="J88" s="127">
        <f t="shared" si="22"/>
        <v>0</v>
      </c>
      <c r="K88" s="14"/>
    </row>
    <row r="89" spans="1:11" s="123" customFormat="1" ht="37.5" x14ac:dyDescent="0.2">
      <c r="A89" s="142">
        <v>2249</v>
      </c>
      <c r="B89" s="145" t="s">
        <v>53</v>
      </c>
      <c r="C89" s="339">
        <f>106935+30000</f>
        <v>136935</v>
      </c>
      <c r="D89" s="339">
        <v>90554.11</v>
      </c>
      <c r="E89" s="339">
        <v>14934.41</v>
      </c>
      <c r="F89" s="339">
        <v>38764.240000000005</v>
      </c>
      <c r="G89" s="339">
        <v>64855.14</v>
      </c>
      <c r="H89" s="339">
        <v>106771.14</v>
      </c>
      <c r="I89" s="126">
        <f t="shared" si="21"/>
        <v>16217.029999999999</v>
      </c>
      <c r="J89" s="127">
        <f t="shared" si="22"/>
        <v>0.17908662566503053</v>
      </c>
      <c r="K89" s="375" t="s">
        <v>680</v>
      </c>
    </row>
    <row r="90" spans="1:11" s="155" customFormat="1" ht="37.5" x14ac:dyDescent="0.2">
      <c r="A90" s="154">
        <v>2250</v>
      </c>
      <c r="B90" s="156" t="s">
        <v>54</v>
      </c>
      <c r="C90" s="341">
        <v>139651</v>
      </c>
      <c r="D90" s="341">
        <v>153933.94999999998</v>
      </c>
      <c r="E90" s="341">
        <v>49647</v>
      </c>
      <c r="F90" s="341">
        <v>99294</v>
      </c>
      <c r="G90" s="341">
        <v>148941</v>
      </c>
      <c r="H90" s="341">
        <v>198586</v>
      </c>
      <c r="I90" s="118">
        <f t="shared" si="21"/>
        <v>44652.050000000017</v>
      </c>
      <c r="J90" s="119">
        <f t="shared" si="22"/>
        <v>0.29007278771187267</v>
      </c>
      <c r="K90" s="396" t="s">
        <v>671</v>
      </c>
    </row>
    <row r="91" spans="1:11" s="155" customFormat="1" ht="19.5" x14ac:dyDescent="0.2">
      <c r="A91" s="154">
        <v>2260</v>
      </c>
      <c r="B91" s="156" t="s">
        <v>55</v>
      </c>
      <c r="C91" s="338">
        <f t="shared" ref="C91:H91" si="26">SUM(C92:C96)</f>
        <v>33434</v>
      </c>
      <c r="D91" s="338">
        <f t="shared" si="26"/>
        <v>43835.569999999992</v>
      </c>
      <c r="E91" s="338">
        <f t="shared" si="26"/>
        <v>11324.73</v>
      </c>
      <c r="F91" s="338">
        <f t="shared" si="26"/>
        <v>22184.949999999997</v>
      </c>
      <c r="G91" s="338">
        <f t="shared" si="26"/>
        <v>33060.399999999994</v>
      </c>
      <c r="H91" s="338">
        <f t="shared" si="26"/>
        <v>43835.569999999992</v>
      </c>
      <c r="I91" s="118">
        <f t="shared" si="21"/>
        <v>0</v>
      </c>
      <c r="J91" s="119">
        <f t="shared" si="22"/>
        <v>0</v>
      </c>
      <c r="K91" s="120"/>
    </row>
    <row r="92" spans="1:11" s="123" customFormat="1" hidden="1" x14ac:dyDescent="0.2">
      <c r="A92" s="142">
        <v>2261</v>
      </c>
      <c r="B92" s="153" t="s">
        <v>56</v>
      </c>
      <c r="C92" s="339"/>
      <c r="D92" s="339">
        <v>0</v>
      </c>
      <c r="E92" s="339">
        <v>0</v>
      </c>
      <c r="F92" s="339">
        <v>0</v>
      </c>
      <c r="G92" s="339">
        <v>0</v>
      </c>
      <c r="H92" s="339">
        <v>0</v>
      </c>
      <c r="I92" s="126">
        <f t="shared" si="21"/>
        <v>0</v>
      </c>
      <c r="J92" s="127" t="str">
        <f t="shared" si="22"/>
        <v>-</v>
      </c>
      <c r="K92" s="14"/>
    </row>
    <row r="93" spans="1:11" s="123" customFormat="1" hidden="1" x14ac:dyDescent="0.2">
      <c r="A93" s="142">
        <v>2262</v>
      </c>
      <c r="B93" s="153" t="s">
        <v>57</v>
      </c>
      <c r="C93" s="339"/>
      <c r="D93" s="339">
        <v>0</v>
      </c>
      <c r="E93" s="339">
        <v>0</v>
      </c>
      <c r="F93" s="339">
        <v>0</v>
      </c>
      <c r="G93" s="339">
        <v>0</v>
      </c>
      <c r="H93" s="339">
        <v>0</v>
      </c>
      <c r="I93" s="126">
        <f t="shared" si="21"/>
        <v>0</v>
      </c>
      <c r="J93" s="127" t="str">
        <f t="shared" si="22"/>
        <v>-</v>
      </c>
      <c r="K93" s="14"/>
    </row>
    <row r="94" spans="1:11" s="123" customFormat="1" hidden="1" x14ac:dyDescent="0.2">
      <c r="A94" s="142">
        <v>2263</v>
      </c>
      <c r="B94" s="153" t="s">
        <v>58</v>
      </c>
      <c r="C94" s="339"/>
      <c r="D94" s="339">
        <v>0</v>
      </c>
      <c r="E94" s="339">
        <v>0</v>
      </c>
      <c r="F94" s="339">
        <v>0</v>
      </c>
      <c r="G94" s="339">
        <v>0</v>
      </c>
      <c r="H94" s="339">
        <v>0</v>
      </c>
      <c r="I94" s="126">
        <f t="shared" si="21"/>
        <v>0</v>
      </c>
      <c r="J94" s="127" t="str">
        <f t="shared" si="22"/>
        <v>-</v>
      </c>
      <c r="K94" s="14"/>
    </row>
    <row r="95" spans="1:11" s="123" customFormat="1" x14ac:dyDescent="0.2">
      <c r="A95" s="142">
        <v>2264</v>
      </c>
      <c r="B95" s="153" t="s">
        <v>162</v>
      </c>
      <c r="C95" s="339">
        <v>33207</v>
      </c>
      <c r="D95" s="339">
        <v>43523.569999999992</v>
      </c>
      <c r="E95" s="339">
        <v>11246.73</v>
      </c>
      <c r="F95" s="339">
        <v>22028.949999999997</v>
      </c>
      <c r="G95" s="339">
        <v>32826.399999999994</v>
      </c>
      <c r="H95" s="339">
        <v>43523.569999999992</v>
      </c>
      <c r="I95" s="126">
        <f t="shared" si="21"/>
        <v>0</v>
      </c>
      <c r="J95" s="127">
        <f t="shared" si="22"/>
        <v>0</v>
      </c>
      <c r="K95" s="14"/>
    </row>
    <row r="96" spans="1:11" s="123" customFormat="1" x14ac:dyDescent="0.2">
      <c r="A96" s="142">
        <v>2269</v>
      </c>
      <c r="B96" s="153" t="s">
        <v>59</v>
      </c>
      <c r="C96" s="339">
        <v>227</v>
      </c>
      <c r="D96" s="339">
        <v>312</v>
      </c>
      <c r="E96" s="339">
        <v>78</v>
      </c>
      <c r="F96" s="339">
        <v>156</v>
      </c>
      <c r="G96" s="339">
        <v>234</v>
      </c>
      <c r="H96" s="339">
        <v>312</v>
      </c>
      <c r="I96" s="126">
        <f t="shared" si="21"/>
        <v>0</v>
      </c>
      <c r="J96" s="127">
        <f t="shared" si="22"/>
        <v>0</v>
      </c>
      <c r="K96" s="14"/>
    </row>
    <row r="97" spans="1:11" s="123" customFormat="1" ht="19.5" x14ac:dyDescent="0.2">
      <c r="A97" s="154">
        <v>2270</v>
      </c>
      <c r="B97" s="156" t="s">
        <v>432</v>
      </c>
      <c r="C97" s="338">
        <f t="shared" ref="C97:H97" si="27">SUM(C98:C101)</f>
        <v>4965</v>
      </c>
      <c r="D97" s="338">
        <f t="shared" si="27"/>
        <v>5260.48</v>
      </c>
      <c r="E97" s="338">
        <f t="shared" si="27"/>
        <v>1025.48</v>
      </c>
      <c r="F97" s="338">
        <f t="shared" si="27"/>
        <v>2270.48</v>
      </c>
      <c r="G97" s="338">
        <f t="shared" si="27"/>
        <v>3420.48</v>
      </c>
      <c r="H97" s="338">
        <f t="shared" si="27"/>
        <v>5260.48</v>
      </c>
      <c r="I97" s="118">
        <f t="shared" si="21"/>
        <v>0</v>
      </c>
      <c r="J97" s="119">
        <f t="shared" si="22"/>
        <v>0</v>
      </c>
      <c r="K97" s="120"/>
    </row>
    <row r="98" spans="1:11" s="123" customFormat="1" hidden="1" x14ac:dyDescent="0.2">
      <c r="A98" s="142">
        <v>2272</v>
      </c>
      <c r="B98" s="145" t="s">
        <v>60</v>
      </c>
      <c r="C98" s="339"/>
      <c r="D98" s="339">
        <v>0</v>
      </c>
      <c r="E98" s="339">
        <v>0</v>
      </c>
      <c r="F98" s="339">
        <v>0</v>
      </c>
      <c r="G98" s="339">
        <v>0</v>
      </c>
      <c r="H98" s="339">
        <v>0</v>
      </c>
      <c r="I98" s="126">
        <f t="shared" si="21"/>
        <v>0</v>
      </c>
      <c r="J98" s="127" t="str">
        <f t="shared" si="22"/>
        <v>-</v>
      </c>
      <c r="K98" s="14"/>
    </row>
    <row r="99" spans="1:11" s="123" customFormat="1" hidden="1" x14ac:dyDescent="0.2">
      <c r="A99" s="142">
        <v>2273</v>
      </c>
      <c r="B99" s="145" t="s">
        <v>61</v>
      </c>
      <c r="C99" s="339"/>
      <c r="D99" s="339">
        <v>0</v>
      </c>
      <c r="E99" s="339">
        <v>0</v>
      </c>
      <c r="F99" s="339">
        <v>0</v>
      </c>
      <c r="G99" s="339">
        <v>0</v>
      </c>
      <c r="H99" s="339">
        <v>0</v>
      </c>
      <c r="I99" s="126">
        <f t="shared" si="21"/>
        <v>0</v>
      </c>
      <c r="J99" s="127" t="str">
        <f t="shared" si="22"/>
        <v>-</v>
      </c>
      <c r="K99" s="14"/>
    </row>
    <row r="100" spans="1:11" s="123" customFormat="1" ht="37.5" hidden="1" x14ac:dyDescent="0.2">
      <c r="A100" s="142">
        <v>2274</v>
      </c>
      <c r="B100" s="145" t="s">
        <v>433</v>
      </c>
      <c r="C100" s="339"/>
      <c r="D100" s="339">
        <v>0</v>
      </c>
      <c r="E100" s="339">
        <v>0</v>
      </c>
      <c r="F100" s="339">
        <v>0</v>
      </c>
      <c r="G100" s="339">
        <v>0</v>
      </c>
      <c r="H100" s="339">
        <v>0</v>
      </c>
      <c r="I100" s="126">
        <f t="shared" si="21"/>
        <v>0</v>
      </c>
      <c r="J100" s="127" t="str">
        <f t="shared" si="22"/>
        <v>-</v>
      </c>
      <c r="K100" s="14"/>
    </row>
    <row r="101" spans="1:11" s="123" customFormat="1" ht="37.5" x14ac:dyDescent="0.2">
      <c r="A101" s="142">
        <v>2276</v>
      </c>
      <c r="B101" s="145" t="s">
        <v>163</v>
      </c>
      <c r="C101" s="339">
        <v>4965</v>
      </c>
      <c r="D101" s="339">
        <v>5260.48</v>
      </c>
      <c r="E101" s="339">
        <v>1025.48</v>
      </c>
      <c r="F101" s="339">
        <v>2270.48</v>
      </c>
      <c r="G101" s="339">
        <v>3420.48</v>
      </c>
      <c r="H101" s="339">
        <v>5260.48</v>
      </c>
      <c r="I101" s="126">
        <f t="shared" si="21"/>
        <v>0</v>
      </c>
      <c r="J101" s="127">
        <f t="shared" si="22"/>
        <v>0</v>
      </c>
      <c r="K101" s="14"/>
    </row>
    <row r="102" spans="1:11" s="123" customFormat="1" ht="37.5" x14ac:dyDescent="0.2">
      <c r="A102" s="154">
        <v>2280</v>
      </c>
      <c r="B102" s="144" t="s">
        <v>62</v>
      </c>
      <c r="C102" s="341">
        <v>4016</v>
      </c>
      <c r="D102" s="341">
        <v>2930.65</v>
      </c>
      <c r="E102" s="341">
        <v>785.7</v>
      </c>
      <c r="F102" s="341">
        <v>1334.4900000000002</v>
      </c>
      <c r="G102" s="341">
        <v>2131.6400000000003</v>
      </c>
      <c r="H102" s="341">
        <v>2930.65</v>
      </c>
      <c r="I102" s="118">
        <f t="shared" si="21"/>
        <v>0</v>
      </c>
      <c r="J102" s="119">
        <f t="shared" si="22"/>
        <v>0</v>
      </c>
      <c r="K102" s="13"/>
    </row>
    <row r="103" spans="1:11" s="155" customFormat="1" ht="56.25" x14ac:dyDescent="0.2">
      <c r="A103" s="116">
        <v>2300</v>
      </c>
      <c r="B103" s="144" t="s">
        <v>63</v>
      </c>
      <c r="C103" s="338">
        <f t="shared" ref="C103:H103" si="28">C104+C109+C113+C114+C128+C129+C136+C137+C138</f>
        <v>5155575</v>
      </c>
      <c r="D103" s="338">
        <f t="shared" si="28"/>
        <v>4689058.33</v>
      </c>
      <c r="E103" s="338">
        <f t="shared" si="28"/>
        <v>1359354.1425000001</v>
      </c>
      <c r="F103" s="338">
        <f t="shared" si="28"/>
        <v>2415333.8520999998</v>
      </c>
      <c r="G103" s="338">
        <f t="shared" si="28"/>
        <v>3790915.0751999998</v>
      </c>
      <c r="H103" s="338">
        <f t="shared" si="28"/>
        <v>4950087.319600001</v>
      </c>
      <c r="I103" s="118">
        <f t="shared" si="21"/>
        <v>261028.9896000009</v>
      </c>
      <c r="J103" s="119">
        <f t="shared" si="22"/>
        <v>5.5667678077274185E-2</v>
      </c>
      <c r="K103" s="120"/>
    </row>
    <row r="104" spans="1:11" s="123" customFormat="1" ht="37.5" x14ac:dyDescent="0.2">
      <c r="A104" s="154">
        <v>2310</v>
      </c>
      <c r="B104" s="144" t="s">
        <v>434</v>
      </c>
      <c r="C104" s="338">
        <f t="shared" ref="C104:H104" si="29">SUM(C105:C108)</f>
        <v>62782</v>
      </c>
      <c r="D104" s="338">
        <f t="shared" si="29"/>
        <v>98988.909999999974</v>
      </c>
      <c r="E104" s="338">
        <f t="shared" si="29"/>
        <v>27477.119999999999</v>
      </c>
      <c r="F104" s="338">
        <f t="shared" si="29"/>
        <v>48362.7</v>
      </c>
      <c r="G104" s="338">
        <f t="shared" si="29"/>
        <v>70608.61</v>
      </c>
      <c r="H104" s="338">
        <f t="shared" si="29"/>
        <v>92542.37</v>
      </c>
      <c r="I104" s="118">
        <f t="shared" si="21"/>
        <v>-6446.539999999979</v>
      </c>
      <c r="J104" s="119">
        <f t="shared" si="22"/>
        <v>-6.5123860844613607E-2</v>
      </c>
      <c r="K104" s="120"/>
    </row>
    <row r="105" spans="1:11" s="123" customFormat="1" x14ac:dyDescent="0.2">
      <c r="A105" s="142">
        <v>2311</v>
      </c>
      <c r="B105" s="153" t="s">
        <v>64</v>
      </c>
      <c r="C105" s="339">
        <v>9779</v>
      </c>
      <c r="D105" s="339">
        <v>9243.119999999999</v>
      </c>
      <c r="E105" s="339">
        <v>1849.87</v>
      </c>
      <c r="F105" s="339">
        <v>3511.45</v>
      </c>
      <c r="G105" s="339">
        <v>6533.36</v>
      </c>
      <c r="H105" s="339">
        <v>9243.119999999999</v>
      </c>
      <c r="I105" s="126">
        <f t="shared" si="21"/>
        <v>0</v>
      </c>
      <c r="J105" s="127">
        <f t="shared" si="22"/>
        <v>0</v>
      </c>
      <c r="K105" s="14"/>
    </row>
    <row r="106" spans="1:11" s="123" customFormat="1" x14ac:dyDescent="0.2">
      <c r="A106" s="142">
        <v>2312</v>
      </c>
      <c r="B106" s="153" t="s">
        <v>65</v>
      </c>
      <c r="C106" s="339">
        <v>44750</v>
      </c>
      <c r="D106" s="339">
        <v>41273.06</v>
      </c>
      <c r="E106" s="339">
        <v>10247.25</v>
      </c>
      <c r="F106" s="339">
        <v>14471.25</v>
      </c>
      <c r="G106" s="339">
        <v>18695.25</v>
      </c>
      <c r="H106" s="339">
        <v>22919.25</v>
      </c>
      <c r="I106" s="126">
        <f t="shared" si="21"/>
        <v>-18353.809999999998</v>
      </c>
      <c r="J106" s="127">
        <f t="shared" si="22"/>
        <v>-0.44469225204043505</v>
      </c>
      <c r="K106" s="375" t="s">
        <v>681</v>
      </c>
    </row>
    <row r="107" spans="1:11" s="155" customFormat="1" ht="37.5" x14ac:dyDescent="0.2">
      <c r="A107" s="142">
        <v>2313</v>
      </c>
      <c r="B107" s="153" t="s">
        <v>435</v>
      </c>
      <c r="C107" s="339">
        <v>8233</v>
      </c>
      <c r="D107" s="339">
        <v>48472.729999999989</v>
      </c>
      <c r="E107" s="339">
        <v>15380</v>
      </c>
      <c r="F107" s="339">
        <v>30380</v>
      </c>
      <c r="G107" s="339">
        <v>45380</v>
      </c>
      <c r="H107" s="339">
        <v>60380</v>
      </c>
      <c r="I107" s="126">
        <f t="shared" si="21"/>
        <v>11907.270000000011</v>
      </c>
      <c r="J107" s="127">
        <f t="shared" si="22"/>
        <v>0.24564884214278862</v>
      </c>
      <c r="K107" s="375" t="s">
        <v>682</v>
      </c>
    </row>
    <row r="108" spans="1:11" s="123" customFormat="1" ht="37.5" x14ac:dyDescent="0.2">
      <c r="A108" s="142">
        <v>2314</v>
      </c>
      <c r="B108" s="145" t="s">
        <v>436</v>
      </c>
      <c r="C108" s="339">
        <v>20</v>
      </c>
      <c r="D108" s="339">
        <v>0</v>
      </c>
      <c r="E108" s="339">
        <v>0</v>
      </c>
      <c r="F108" s="339">
        <v>0</v>
      </c>
      <c r="G108" s="339">
        <v>0</v>
      </c>
      <c r="H108" s="339">
        <v>0</v>
      </c>
      <c r="I108" s="126">
        <f t="shared" si="21"/>
        <v>0</v>
      </c>
      <c r="J108" s="127" t="str">
        <f t="shared" si="22"/>
        <v>-</v>
      </c>
      <c r="K108" s="14"/>
    </row>
    <row r="109" spans="1:11" s="123" customFormat="1" ht="19.5" x14ac:dyDescent="0.2">
      <c r="A109" s="154">
        <v>2320</v>
      </c>
      <c r="B109" s="144" t="s">
        <v>66</v>
      </c>
      <c r="C109" s="338">
        <f t="shared" ref="C109:H109" si="30">SUM(C110:C112)</f>
        <v>1727</v>
      </c>
      <c r="D109" s="338">
        <f t="shared" si="30"/>
        <v>1415.8899999999999</v>
      </c>
      <c r="E109" s="338">
        <f t="shared" si="30"/>
        <v>482.09</v>
      </c>
      <c r="F109" s="338">
        <f t="shared" si="30"/>
        <v>784.01</v>
      </c>
      <c r="G109" s="338">
        <f t="shared" si="30"/>
        <v>1108.18</v>
      </c>
      <c r="H109" s="338">
        <f t="shared" si="30"/>
        <v>1415.8899999999999</v>
      </c>
      <c r="I109" s="118">
        <f t="shared" si="21"/>
        <v>0</v>
      </c>
      <c r="J109" s="119">
        <f t="shared" si="22"/>
        <v>0</v>
      </c>
      <c r="K109" s="120"/>
    </row>
    <row r="110" spans="1:11" s="123" customFormat="1" x14ac:dyDescent="0.2">
      <c r="A110" s="142">
        <v>2321</v>
      </c>
      <c r="B110" s="153" t="s">
        <v>67</v>
      </c>
      <c r="C110" s="339"/>
      <c r="D110" s="339">
        <v>0</v>
      </c>
      <c r="E110" s="339">
        <v>0</v>
      </c>
      <c r="F110" s="339">
        <v>0</v>
      </c>
      <c r="G110" s="339">
        <v>0</v>
      </c>
      <c r="H110" s="339">
        <v>0</v>
      </c>
      <c r="I110" s="126">
        <f t="shared" si="21"/>
        <v>0</v>
      </c>
      <c r="J110" s="127" t="str">
        <f t="shared" si="22"/>
        <v>-</v>
      </c>
      <c r="K110" s="14"/>
    </row>
    <row r="111" spans="1:11" s="155" customFormat="1" ht="19.5" x14ac:dyDescent="0.2">
      <c r="A111" s="142">
        <v>2322</v>
      </c>
      <c r="B111" s="153" t="s">
        <v>68</v>
      </c>
      <c r="C111" s="339">
        <v>1727</v>
      </c>
      <c r="D111" s="339">
        <v>1415.8899999999999</v>
      </c>
      <c r="E111" s="339">
        <v>482.09</v>
      </c>
      <c r="F111" s="339">
        <v>784.01</v>
      </c>
      <c r="G111" s="339">
        <v>1108.18</v>
      </c>
      <c r="H111" s="339">
        <v>1415.8899999999999</v>
      </c>
      <c r="I111" s="126">
        <f t="shared" si="21"/>
        <v>0</v>
      </c>
      <c r="J111" s="127">
        <f t="shared" si="22"/>
        <v>0</v>
      </c>
      <c r="K111" s="14"/>
    </row>
    <row r="112" spans="1:11" s="155" customFormat="1" ht="19.5" hidden="1" x14ac:dyDescent="0.2">
      <c r="A112" s="142">
        <v>2329</v>
      </c>
      <c r="B112" s="153" t="s">
        <v>69</v>
      </c>
      <c r="C112" s="339"/>
      <c r="D112" s="339">
        <v>0</v>
      </c>
      <c r="E112" s="339">
        <v>0</v>
      </c>
      <c r="F112" s="339">
        <v>0</v>
      </c>
      <c r="G112" s="339">
        <v>0</v>
      </c>
      <c r="H112" s="339">
        <v>0</v>
      </c>
      <c r="I112" s="126">
        <f t="shared" si="21"/>
        <v>0</v>
      </c>
      <c r="J112" s="127" t="str">
        <f t="shared" si="22"/>
        <v>-</v>
      </c>
      <c r="K112" s="14"/>
    </row>
    <row r="113" spans="1:11" s="123" customFormat="1" ht="19.5" hidden="1" x14ac:dyDescent="0.2">
      <c r="A113" s="154">
        <v>2330</v>
      </c>
      <c r="B113" s="156" t="s">
        <v>70</v>
      </c>
      <c r="C113" s="341"/>
      <c r="D113" s="341">
        <v>0</v>
      </c>
      <c r="E113" s="341">
        <v>0</v>
      </c>
      <c r="F113" s="341">
        <v>0</v>
      </c>
      <c r="G113" s="341">
        <v>0</v>
      </c>
      <c r="H113" s="341">
        <v>0</v>
      </c>
      <c r="I113" s="118">
        <f t="shared" si="21"/>
        <v>0</v>
      </c>
      <c r="J113" s="119" t="str">
        <f t="shared" si="22"/>
        <v>-</v>
      </c>
      <c r="K113" s="13"/>
    </row>
    <row r="114" spans="1:11" s="123" customFormat="1" ht="75" x14ac:dyDescent="0.2">
      <c r="A114" s="154">
        <v>2340</v>
      </c>
      <c r="B114" s="144" t="s">
        <v>71</v>
      </c>
      <c r="C114" s="341">
        <f t="shared" ref="C114:H114" si="31">C115+C121+C124</f>
        <v>4892574</v>
      </c>
      <c r="D114" s="341">
        <f t="shared" si="31"/>
        <v>4418150.17</v>
      </c>
      <c r="E114" s="341">
        <f t="shared" si="31"/>
        <v>1251366.2375000003</v>
      </c>
      <c r="F114" s="341">
        <f t="shared" si="31"/>
        <v>2217797.5000999998</v>
      </c>
      <c r="G114" s="341">
        <f t="shared" si="31"/>
        <v>3492657.1342000002</v>
      </c>
      <c r="H114" s="341">
        <f t="shared" si="31"/>
        <v>4559415.4256000007</v>
      </c>
      <c r="I114" s="118">
        <f t="shared" si="21"/>
        <v>141265.25560000073</v>
      </c>
      <c r="J114" s="119">
        <f t="shared" si="22"/>
        <v>3.1973846556691561E-2</v>
      </c>
      <c r="K114" s="13"/>
    </row>
    <row r="115" spans="1:11" s="123" customFormat="1" ht="19.5" x14ac:dyDescent="0.2">
      <c r="A115" s="116">
        <v>2341</v>
      </c>
      <c r="B115" s="144" t="s">
        <v>72</v>
      </c>
      <c r="C115" s="338">
        <f t="shared" ref="C115:H115" si="32">SUM(C116:C120)</f>
        <v>549343</v>
      </c>
      <c r="D115" s="338">
        <f t="shared" si="32"/>
        <v>539218.32000000007</v>
      </c>
      <c r="E115" s="338">
        <f t="shared" si="32"/>
        <v>153218.04139999999</v>
      </c>
      <c r="F115" s="338">
        <f t="shared" si="32"/>
        <v>276675.71600000001</v>
      </c>
      <c r="G115" s="338">
        <f t="shared" si="32"/>
        <v>427687.30170000007</v>
      </c>
      <c r="H115" s="338">
        <f t="shared" si="32"/>
        <v>555394.86960000009</v>
      </c>
      <c r="I115" s="118">
        <f t="shared" si="21"/>
        <v>16176.549600000028</v>
      </c>
      <c r="J115" s="119">
        <f t="shared" si="22"/>
        <v>3.0000000000000047E-2</v>
      </c>
      <c r="K115" s="120"/>
    </row>
    <row r="116" spans="1:11" s="123" customFormat="1" x14ac:dyDescent="0.2">
      <c r="A116" s="142">
        <v>23411</v>
      </c>
      <c r="B116" s="158" t="s">
        <v>330</v>
      </c>
      <c r="C116" s="340">
        <v>460999</v>
      </c>
      <c r="D116" s="340">
        <v>437316.57000000007</v>
      </c>
      <c r="E116" s="339">
        <v>120784.9482</v>
      </c>
      <c r="F116" s="339">
        <v>224955.12090000001</v>
      </c>
      <c r="G116" s="339">
        <v>346776.74350000004</v>
      </c>
      <c r="H116" s="340">
        <v>450436.06710000004</v>
      </c>
      <c r="I116" s="126">
        <f t="shared" si="21"/>
        <v>13119.497099999979</v>
      </c>
      <c r="J116" s="127">
        <f t="shared" si="22"/>
        <v>2.9999999999999947E-2</v>
      </c>
      <c r="K116" s="14"/>
    </row>
    <row r="117" spans="1:11" s="123" customFormat="1" x14ac:dyDescent="0.2">
      <c r="A117" s="142">
        <v>23412</v>
      </c>
      <c r="B117" s="158" t="s">
        <v>346</v>
      </c>
      <c r="C117" s="340">
        <v>34811</v>
      </c>
      <c r="D117" s="340">
        <v>32566.240000000002</v>
      </c>
      <c r="E117" s="339">
        <v>7868.5408000000007</v>
      </c>
      <c r="F117" s="339">
        <v>12777.3045</v>
      </c>
      <c r="G117" s="339">
        <v>23830.996700000003</v>
      </c>
      <c r="H117" s="340">
        <v>33543.227200000008</v>
      </c>
      <c r="I117" s="126">
        <f t="shared" si="21"/>
        <v>976.98720000000685</v>
      </c>
      <c r="J117" s="127">
        <f t="shared" si="22"/>
        <v>3.0000000000000211E-2</v>
      </c>
      <c r="K117" s="14"/>
    </row>
    <row r="118" spans="1:11" s="123" customFormat="1" x14ac:dyDescent="0.2">
      <c r="A118" s="142">
        <v>23413</v>
      </c>
      <c r="B118" s="158" t="s">
        <v>345</v>
      </c>
      <c r="C118" s="340">
        <v>53533</v>
      </c>
      <c r="D118" s="340">
        <v>69335.510000000009</v>
      </c>
      <c r="E118" s="339">
        <v>24564.5524</v>
      </c>
      <c r="F118" s="339">
        <v>38943.2906</v>
      </c>
      <c r="G118" s="339">
        <v>57079.561500000003</v>
      </c>
      <c r="H118" s="340">
        <v>71415.575299999997</v>
      </c>
      <c r="I118" s="126">
        <f t="shared" si="21"/>
        <v>2080.0652999999875</v>
      </c>
      <c r="J118" s="127">
        <f t="shared" si="22"/>
        <v>2.9999999999999815E-2</v>
      </c>
      <c r="K118" s="14"/>
    </row>
    <row r="119" spans="1:11" s="123" customFormat="1" hidden="1" x14ac:dyDescent="0.2">
      <c r="A119" s="142">
        <v>23415</v>
      </c>
      <c r="B119" s="158" t="s">
        <v>331</v>
      </c>
      <c r="C119" s="339"/>
      <c r="D119" s="340">
        <v>0</v>
      </c>
      <c r="E119" s="339">
        <v>0</v>
      </c>
      <c r="F119" s="339">
        <v>0</v>
      </c>
      <c r="G119" s="339">
        <v>0</v>
      </c>
      <c r="H119" s="339">
        <v>0</v>
      </c>
      <c r="I119" s="126">
        <f t="shared" si="21"/>
        <v>0</v>
      </c>
      <c r="J119" s="127" t="str">
        <f t="shared" si="22"/>
        <v>-</v>
      </c>
      <c r="K119" s="14"/>
    </row>
    <row r="120" spans="1:11" s="123" customFormat="1" ht="56.25" hidden="1" x14ac:dyDescent="0.2">
      <c r="A120" s="142">
        <v>23416</v>
      </c>
      <c r="B120" s="158" t="s">
        <v>332</v>
      </c>
      <c r="C120" s="339"/>
      <c r="D120" s="340">
        <v>0</v>
      </c>
      <c r="E120" s="339">
        <v>0</v>
      </c>
      <c r="F120" s="339">
        <v>0</v>
      </c>
      <c r="G120" s="339">
        <v>0</v>
      </c>
      <c r="H120" s="339">
        <v>0</v>
      </c>
      <c r="I120" s="126">
        <f t="shared" si="21"/>
        <v>0</v>
      </c>
      <c r="J120" s="127" t="str">
        <f t="shared" si="22"/>
        <v>-</v>
      </c>
      <c r="K120" s="14"/>
    </row>
    <row r="121" spans="1:11" s="155" customFormat="1" ht="19.5" x14ac:dyDescent="0.2">
      <c r="A121" s="116">
        <v>2343</v>
      </c>
      <c r="B121" s="144" t="s">
        <v>357</v>
      </c>
      <c r="C121" s="338">
        <f t="shared" ref="C121:H121" si="33">SUM(C122:C123)</f>
        <v>141647</v>
      </c>
      <c r="D121" s="338">
        <f t="shared" si="33"/>
        <v>124582.15000000001</v>
      </c>
      <c r="E121" s="338">
        <f t="shared" si="33"/>
        <v>33351.428</v>
      </c>
      <c r="F121" s="338">
        <f t="shared" si="33"/>
        <v>62554.976000000002</v>
      </c>
      <c r="G121" s="338">
        <f t="shared" si="33"/>
        <v>99430.243000000002</v>
      </c>
      <c r="H121" s="338">
        <f t="shared" si="33"/>
        <v>137040.36500000002</v>
      </c>
      <c r="I121" s="159">
        <f t="shared" si="21"/>
        <v>12458.215000000011</v>
      </c>
      <c r="J121" s="119">
        <f t="shared" si="22"/>
        <v>0.10000000000000007</v>
      </c>
      <c r="K121" s="160"/>
    </row>
    <row r="122" spans="1:11" s="155" customFormat="1" ht="37.5" x14ac:dyDescent="0.2">
      <c r="A122" s="142">
        <v>23431</v>
      </c>
      <c r="B122" s="158" t="s">
        <v>286</v>
      </c>
      <c r="C122" s="340">
        <v>141647</v>
      </c>
      <c r="D122" s="340">
        <v>124582.15000000001</v>
      </c>
      <c r="E122" s="339">
        <v>33351.428</v>
      </c>
      <c r="F122" s="339">
        <v>62554.976000000002</v>
      </c>
      <c r="G122" s="339">
        <v>99430.243000000002</v>
      </c>
      <c r="H122" s="340">
        <v>137040.36500000002</v>
      </c>
      <c r="I122" s="126">
        <f t="shared" si="21"/>
        <v>12458.215000000011</v>
      </c>
      <c r="J122" s="127">
        <f t="shared" si="22"/>
        <v>0.10000000000000007</v>
      </c>
      <c r="K122" s="375" t="s">
        <v>675</v>
      </c>
    </row>
    <row r="123" spans="1:11" s="155" customFormat="1" ht="19.5" x14ac:dyDescent="0.2">
      <c r="A123" s="142">
        <v>23432</v>
      </c>
      <c r="B123" s="158" t="s">
        <v>290</v>
      </c>
      <c r="C123" s="339"/>
      <c r="D123" s="340">
        <v>0</v>
      </c>
      <c r="E123" s="339">
        <v>0</v>
      </c>
      <c r="F123" s="339">
        <v>0</v>
      </c>
      <c r="G123" s="339">
        <v>0</v>
      </c>
      <c r="H123" s="339">
        <v>0</v>
      </c>
      <c r="I123" s="126">
        <f t="shared" si="21"/>
        <v>0</v>
      </c>
      <c r="J123" s="127" t="str">
        <f t="shared" si="22"/>
        <v>-</v>
      </c>
      <c r="K123" s="14"/>
    </row>
    <row r="124" spans="1:11" s="155" customFormat="1" ht="37.5" x14ac:dyDescent="0.2">
      <c r="A124" s="116">
        <v>2344</v>
      </c>
      <c r="B124" s="144" t="s">
        <v>359</v>
      </c>
      <c r="C124" s="338">
        <f>SUM(C125:C127)</f>
        <v>4201584</v>
      </c>
      <c r="D124" s="338">
        <f t="shared" ref="D124:H124" si="34">SUM(D125:D127)</f>
        <v>3754349.6999999997</v>
      </c>
      <c r="E124" s="338">
        <f t="shared" si="34"/>
        <v>1064796.7681000002</v>
      </c>
      <c r="F124" s="338">
        <f t="shared" si="34"/>
        <v>1878566.8080999998</v>
      </c>
      <c r="G124" s="338">
        <f t="shared" si="34"/>
        <v>2965539.5895000002</v>
      </c>
      <c r="H124" s="338">
        <f t="shared" si="34"/>
        <v>3866980.1910000006</v>
      </c>
      <c r="I124" s="118">
        <f t="shared" si="21"/>
        <v>112630.49100000085</v>
      </c>
      <c r="J124" s="119">
        <f t="shared" si="22"/>
        <v>3.0000000000000228E-2</v>
      </c>
      <c r="K124" s="120"/>
    </row>
    <row r="125" spans="1:11" s="155" customFormat="1" ht="19.5" x14ac:dyDescent="0.2">
      <c r="A125" s="142">
        <v>23441</v>
      </c>
      <c r="B125" s="145" t="s">
        <v>287</v>
      </c>
      <c r="C125" s="339">
        <v>955921</v>
      </c>
      <c r="D125" s="339">
        <v>734162.62999999989</v>
      </c>
      <c r="E125" s="339">
        <v>173472.0129</v>
      </c>
      <c r="F125" s="339">
        <v>302422.90409999999</v>
      </c>
      <c r="G125" s="339">
        <v>506447.62160000001</v>
      </c>
      <c r="H125" s="339">
        <v>756187.50890000013</v>
      </c>
      <c r="I125" s="126">
        <f t="shared" si="21"/>
        <v>22024.878900000243</v>
      </c>
      <c r="J125" s="127">
        <f t="shared" si="22"/>
        <v>3.0000000000000335E-2</v>
      </c>
      <c r="K125" s="14"/>
    </row>
    <row r="126" spans="1:11" s="155" customFormat="1" ht="19.5" x14ac:dyDescent="0.2">
      <c r="A126" s="142">
        <v>23442</v>
      </c>
      <c r="B126" s="145" t="s">
        <v>288</v>
      </c>
      <c r="C126" s="339">
        <v>3230865</v>
      </c>
      <c r="D126" s="339">
        <v>3002208.6999999997</v>
      </c>
      <c r="E126" s="339">
        <v>887468.92960000003</v>
      </c>
      <c r="F126" s="339">
        <v>1564996.7598999999</v>
      </c>
      <c r="G126" s="339">
        <v>2444486.0632000002</v>
      </c>
      <c r="H126" s="339">
        <v>3092274.9610000001</v>
      </c>
      <c r="I126" s="126">
        <f t="shared" si="21"/>
        <v>90066.261000000406</v>
      </c>
      <c r="J126" s="127">
        <f t="shared" si="22"/>
        <v>3.0000000000000138E-2</v>
      </c>
      <c r="K126" s="397"/>
    </row>
    <row r="127" spans="1:11" s="155" customFormat="1" ht="19.5" x14ac:dyDescent="0.2">
      <c r="A127" s="142">
        <v>23443</v>
      </c>
      <c r="B127" s="145" t="s">
        <v>289</v>
      </c>
      <c r="C127" s="339">
        <v>14798</v>
      </c>
      <c r="D127" s="339">
        <v>17978.37</v>
      </c>
      <c r="E127" s="339">
        <v>3855.8256000000001</v>
      </c>
      <c r="F127" s="339">
        <v>11147.1441</v>
      </c>
      <c r="G127" s="339">
        <v>14605.904699999999</v>
      </c>
      <c r="H127" s="339">
        <v>18517.721099999999</v>
      </c>
      <c r="I127" s="126">
        <f t="shared" si="21"/>
        <v>539.35109999999986</v>
      </c>
      <c r="J127" s="127">
        <f t="shared" si="22"/>
        <v>2.9999999999999995E-2</v>
      </c>
      <c r="K127" s="14"/>
    </row>
    <row r="128" spans="1:11" s="123" customFormat="1" ht="19.5" x14ac:dyDescent="0.2">
      <c r="A128" s="154">
        <v>2350</v>
      </c>
      <c r="B128" s="156" t="s">
        <v>437</v>
      </c>
      <c r="C128" s="341">
        <v>6070</v>
      </c>
      <c r="D128" s="341">
        <v>7152.33</v>
      </c>
      <c r="E128" s="341">
        <v>2100.92</v>
      </c>
      <c r="F128" s="341">
        <v>3765.8300000000004</v>
      </c>
      <c r="G128" s="341">
        <v>5326.09</v>
      </c>
      <c r="H128" s="341">
        <v>7152.33</v>
      </c>
      <c r="I128" s="118">
        <f t="shared" si="21"/>
        <v>0</v>
      </c>
      <c r="J128" s="119">
        <f t="shared" si="22"/>
        <v>0</v>
      </c>
      <c r="K128" s="13"/>
    </row>
    <row r="129" spans="1:11" s="123" customFormat="1" ht="37.5" x14ac:dyDescent="0.2">
      <c r="A129" s="154">
        <v>2360</v>
      </c>
      <c r="B129" s="144" t="s">
        <v>438</v>
      </c>
      <c r="C129" s="338">
        <f t="shared" ref="C129:H129" si="35">SUM(C130:C135)</f>
        <v>192247</v>
      </c>
      <c r="D129" s="338">
        <f t="shared" si="35"/>
        <v>163351.03</v>
      </c>
      <c r="E129" s="338">
        <f t="shared" si="35"/>
        <v>77927.774999999994</v>
      </c>
      <c r="F129" s="338">
        <f t="shared" si="35"/>
        <v>144623.81200000001</v>
      </c>
      <c r="G129" s="338">
        <f t="shared" si="35"/>
        <v>221215.06099999999</v>
      </c>
      <c r="H129" s="338">
        <f t="shared" si="35"/>
        <v>289561.304</v>
      </c>
      <c r="I129" s="118">
        <f t="shared" si="21"/>
        <v>126210.274</v>
      </c>
      <c r="J129" s="119">
        <f t="shared" si="22"/>
        <v>0.77263225092611909</v>
      </c>
      <c r="K129" s="120"/>
    </row>
    <row r="130" spans="1:11" s="123" customFormat="1" ht="112.5" x14ac:dyDescent="0.2">
      <c r="A130" s="142">
        <v>2361</v>
      </c>
      <c r="B130" s="145" t="s">
        <v>73</v>
      </c>
      <c r="C130" s="339">
        <f>3567+6000+100</f>
        <v>9667</v>
      </c>
      <c r="D130" s="339">
        <v>10298.369999999999</v>
      </c>
      <c r="E130" s="339">
        <v>32976</v>
      </c>
      <c r="F130" s="339">
        <v>65952</v>
      </c>
      <c r="G130" s="339">
        <v>98928</v>
      </c>
      <c r="H130" s="339">
        <v>131920</v>
      </c>
      <c r="I130" s="126">
        <f t="shared" si="21"/>
        <v>121621.63</v>
      </c>
      <c r="J130" s="127">
        <f t="shared" si="22"/>
        <v>11.809794171310607</v>
      </c>
      <c r="K130" s="375" t="s">
        <v>683</v>
      </c>
    </row>
    <row r="131" spans="1:11" s="123" customFormat="1" x14ac:dyDescent="0.2">
      <c r="A131" s="142">
        <v>2362</v>
      </c>
      <c r="B131" s="145" t="s">
        <v>74</v>
      </c>
      <c r="C131" s="339">
        <v>1465</v>
      </c>
      <c r="D131" s="339">
        <v>97.859999999999985</v>
      </c>
      <c r="E131" s="339">
        <v>0</v>
      </c>
      <c r="F131" s="339">
        <v>0</v>
      </c>
      <c r="G131" s="339">
        <v>15.04</v>
      </c>
      <c r="H131" s="339">
        <v>97.859999999999985</v>
      </c>
      <c r="I131" s="126">
        <f t="shared" ref="I131:I192" si="36">H131-D131</f>
        <v>0</v>
      </c>
      <c r="J131" s="127">
        <f t="shared" ref="J131:J186" si="37">IFERROR(I131/ABS(D131), "-")</f>
        <v>0</v>
      </c>
      <c r="K131" s="14"/>
    </row>
    <row r="132" spans="1:11" s="123" customFormat="1" x14ac:dyDescent="0.2">
      <c r="A132" s="142">
        <v>2363</v>
      </c>
      <c r="B132" s="145" t="s">
        <v>75</v>
      </c>
      <c r="C132" s="339">
        <v>181115</v>
      </c>
      <c r="D132" s="339">
        <v>152954.79999999999</v>
      </c>
      <c r="E132" s="339">
        <v>44951.775000000001</v>
      </c>
      <c r="F132" s="339">
        <v>78671.812000000005</v>
      </c>
      <c r="G132" s="339">
        <v>122272.02100000001</v>
      </c>
      <c r="H132" s="339">
        <v>157543.44399999999</v>
      </c>
      <c r="I132" s="126">
        <f t="shared" si="36"/>
        <v>4588.6440000000002</v>
      </c>
      <c r="J132" s="127">
        <f t="shared" si="37"/>
        <v>3.0000000000000002E-2</v>
      </c>
      <c r="K132" s="14"/>
    </row>
    <row r="133" spans="1:11" s="123" customFormat="1" hidden="1" x14ac:dyDescent="0.2">
      <c r="A133" s="142">
        <v>2364</v>
      </c>
      <c r="B133" s="145" t="s">
        <v>439</v>
      </c>
      <c r="C133" s="339"/>
      <c r="D133" s="339">
        <v>0</v>
      </c>
      <c r="E133" s="339">
        <v>0</v>
      </c>
      <c r="F133" s="339">
        <v>0</v>
      </c>
      <c r="G133" s="339">
        <v>0</v>
      </c>
      <c r="H133" s="339">
        <v>0</v>
      </c>
      <c r="I133" s="126">
        <f t="shared" si="36"/>
        <v>0</v>
      </c>
      <c r="J133" s="127" t="str">
        <f t="shared" si="37"/>
        <v>-</v>
      </c>
      <c r="K133" s="14"/>
    </row>
    <row r="134" spans="1:11" s="155" customFormat="1" ht="37.5" hidden="1" x14ac:dyDescent="0.2">
      <c r="A134" s="142">
        <v>2366</v>
      </c>
      <c r="B134" s="145" t="s">
        <v>76</v>
      </c>
      <c r="C134" s="339"/>
      <c r="D134" s="339">
        <v>0</v>
      </c>
      <c r="E134" s="339">
        <v>0</v>
      </c>
      <c r="F134" s="339">
        <v>0</v>
      </c>
      <c r="G134" s="339">
        <v>0</v>
      </c>
      <c r="H134" s="339">
        <v>0</v>
      </c>
      <c r="I134" s="126">
        <f t="shared" si="36"/>
        <v>0</v>
      </c>
      <c r="J134" s="127" t="str">
        <f t="shared" si="37"/>
        <v>-</v>
      </c>
      <c r="K134" s="14"/>
    </row>
    <row r="135" spans="1:11" s="155" customFormat="1" ht="56.25" hidden="1" x14ac:dyDescent="0.2">
      <c r="A135" s="142">
        <v>2369</v>
      </c>
      <c r="B135" s="145" t="s">
        <v>164</v>
      </c>
      <c r="C135" s="339"/>
      <c r="D135" s="339">
        <v>0</v>
      </c>
      <c r="E135" s="339">
        <v>0</v>
      </c>
      <c r="F135" s="339">
        <v>0</v>
      </c>
      <c r="G135" s="339">
        <v>0</v>
      </c>
      <c r="H135" s="339">
        <v>0</v>
      </c>
      <c r="I135" s="126">
        <f t="shared" si="36"/>
        <v>0</v>
      </c>
      <c r="J135" s="127" t="str">
        <f t="shared" si="37"/>
        <v>-</v>
      </c>
      <c r="K135" s="14"/>
    </row>
    <row r="136" spans="1:11" s="123" customFormat="1" ht="19.5" hidden="1" x14ac:dyDescent="0.2">
      <c r="A136" s="154">
        <v>2370</v>
      </c>
      <c r="B136" s="156" t="s">
        <v>77</v>
      </c>
      <c r="C136" s="341"/>
      <c r="D136" s="341">
        <v>0</v>
      </c>
      <c r="E136" s="341">
        <v>0</v>
      </c>
      <c r="F136" s="341">
        <v>0</v>
      </c>
      <c r="G136" s="341">
        <v>0</v>
      </c>
      <c r="H136" s="341">
        <v>0</v>
      </c>
      <c r="I136" s="118">
        <f t="shared" si="36"/>
        <v>0</v>
      </c>
      <c r="J136" s="119" t="str">
        <f t="shared" si="37"/>
        <v>-</v>
      </c>
      <c r="K136" s="13"/>
    </row>
    <row r="137" spans="1:11" s="123" customFormat="1" ht="19.5" hidden="1" x14ac:dyDescent="0.2">
      <c r="A137" s="154">
        <v>2380</v>
      </c>
      <c r="B137" s="156" t="s">
        <v>78</v>
      </c>
      <c r="C137" s="341"/>
      <c r="D137" s="341">
        <v>0</v>
      </c>
      <c r="E137" s="341">
        <v>0</v>
      </c>
      <c r="F137" s="341">
        <v>0</v>
      </c>
      <c r="G137" s="341">
        <v>0</v>
      </c>
      <c r="H137" s="341">
        <v>0</v>
      </c>
      <c r="I137" s="118">
        <f t="shared" si="36"/>
        <v>0</v>
      </c>
      <c r="J137" s="119" t="str">
        <f t="shared" si="37"/>
        <v>-</v>
      </c>
      <c r="K137" s="13"/>
    </row>
    <row r="138" spans="1:11" ht="19.5" x14ac:dyDescent="0.2">
      <c r="A138" s="116">
        <v>2390</v>
      </c>
      <c r="B138" s="156" t="s">
        <v>79</v>
      </c>
      <c r="C138" s="341">
        <v>175</v>
      </c>
      <c r="D138" s="341">
        <v>0</v>
      </c>
      <c r="E138" s="341">
        <v>0</v>
      </c>
      <c r="F138" s="341">
        <v>0</v>
      </c>
      <c r="G138" s="341">
        <v>0</v>
      </c>
      <c r="H138" s="341">
        <v>0</v>
      </c>
      <c r="I138" s="118">
        <f t="shared" si="36"/>
        <v>0</v>
      </c>
      <c r="J138" s="119" t="str">
        <f t="shared" si="37"/>
        <v>-</v>
      </c>
      <c r="K138" s="13"/>
    </row>
    <row r="139" spans="1:11" ht="19.5" x14ac:dyDescent="0.2">
      <c r="A139" s="116">
        <v>2500</v>
      </c>
      <c r="B139" s="144" t="s">
        <v>440</v>
      </c>
      <c r="C139" s="338">
        <f t="shared" ref="C139:H139" si="38">SUM(C140+C148)</f>
        <v>869755</v>
      </c>
      <c r="D139" s="338">
        <f t="shared" si="38"/>
        <v>848988.05999999982</v>
      </c>
      <c r="E139" s="338">
        <f t="shared" si="38"/>
        <v>249310.15699999998</v>
      </c>
      <c r="F139" s="338">
        <f t="shared" si="38"/>
        <v>437469.15130000003</v>
      </c>
      <c r="G139" s="338">
        <f t="shared" si="38"/>
        <v>659722.33229999989</v>
      </c>
      <c r="H139" s="338">
        <f t="shared" si="38"/>
        <v>874097.09669999999</v>
      </c>
      <c r="I139" s="118">
        <f t="shared" si="36"/>
        <v>25109.036700000172</v>
      </c>
      <c r="J139" s="119">
        <f t="shared" si="37"/>
        <v>2.9575253037127727E-2</v>
      </c>
      <c r="K139" s="120"/>
    </row>
    <row r="140" spans="1:11" ht="19.5" x14ac:dyDescent="0.2">
      <c r="A140" s="116">
        <v>2510</v>
      </c>
      <c r="B140" s="156" t="s">
        <v>441</v>
      </c>
      <c r="C140" s="338">
        <f t="shared" ref="C140:H140" si="39">SUM(C141:C147)</f>
        <v>869755</v>
      </c>
      <c r="D140" s="338">
        <f t="shared" si="39"/>
        <v>848988.05999999982</v>
      </c>
      <c r="E140" s="338">
        <f t="shared" si="39"/>
        <v>249310.15699999998</v>
      </c>
      <c r="F140" s="338">
        <f t="shared" si="39"/>
        <v>437469.15130000003</v>
      </c>
      <c r="G140" s="338">
        <f t="shared" si="39"/>
        <v>659722.33229999989</v>
      </c>
      <c r="H140" s="338">
        <f t="shared" si="39"/>
        <v>874097.09669999999</v>
      </c>
      <c r="I140" s="118">
        <f t="shared" si="36"/>
        <v>25109.036700000172</v>
      </c>
      <c r="J140" s="119">
        <f t="shared" si="37"/>
        <v>2.9575253037127727E-2</v>
      </c>
      <c r="K140" s="120"/>
    </row>
    <row r="141" spans="1:11" x14ac:dyDescent="0.2">
      <c r="A141" s="142">
        <v>2512</v>
      </c>
      <c r="B141" s="145" t="s">
        <v>80</v>
      </c>
      <c r="C141" s="339">
        <v>851955</v>
      </c>
      <c r="D141" s="339">
        <v>826967.8899999999</v>
      </c>
      <c r="E141" s="339">
        <v>242858.44699999999</v>
      </c>
      <c r="F141" s="339">
        <v>425841.8713</v>
      </c>
      <c r="G141" s="339">
        <v>643940.97230000002</v>
      </c>
      <c r="H141" s="339">
        <v>851776.92670000007</v>
      </c>
      <c r="I141" s="126">
        <f t="shared" si="36"/>
        <v>24809.036700000172</v>
      </c>
      <c r="J141" s="127">
        <f t="shared" si="37"/>
        <v>3.0000000000000211E-2</v>
      </c>
      <c r="K141" s="14"/>
    </row>
    <row r="142" spans="1:11" x14ac:dyDescent="0.2">
      <c r="A142" s="142">
        <v>2513</v>
      </c>
      <c r="B142" s="145" t="s">
        <v>442</v>
      </c>
      <c r="C142" s="339">
        <v>11606</v>
      </c>
      <c r="D142" s="339">
        <v>11605.99</v>
      </c>
      <c r="E142" s="339">
        <v>2901.4800000000005</v>
      </c>
      <c r="F142" s="339">
        <v>5802.96</v>
      </c>
      <c r="G142" s="339">
        <v>8704.44</v>
      </c>
      <c r="H142" s="339">
        <v>11605.99</v>
      </c>
      <c r="I142" s="126">
        <f t="shared" si="36"/>
        <v>0</v>
      </c>
      <c r="J142" s="127">
        <f t="shared" si="37"/>
        <v>0</v>
      </c>
      <c r="K142" s="14"/>
    </row>
    <row r="143" spans="1:11" ht="36" hidden="1" customHeight="1" x14ac:dyDescent="0.2">
      <c r="A143" s="142">
        <v>2514</v>
      </c>
      <c r="B143" s="145" t="s">
        <v>81</v>
      </c>
      <c r="C143" s="339"/>
      <c r="D143" s="339">
        <v>0</v>
      </c>
      <c r="E143" s="339">
        <v>0</v>
      </c>
      <c r="F143" s="339">
        <v>0</v>
      </c>
      <c r="G143" s="339">
        <v>0</v>
      </c>
      <c r="H143" s="339">
        <v>0</v>
      </c>
      <c r="I143" s="126">
        <f t="shared" si="36"/>
        <v>0</v>
      </c>
      <c r="J143" s="127" t="str">
        <f t="shared" si="37"/>
        <v>-</v>
      </c>
      <c r="K143" s="14"/>
    </row>
    <row r="144" spans="1:11" x14ac:dyDescent="0.2">
      <c r="A144" s="142">
        <v>2515</v>
      </c>
      <c r="B144" s="145" t="s">
        <v>82</v>
      </c>
      <c r="C144" s="339">
        <v>3377</v>
      </c>
      <c r="D144" s="339">
        <v>7482.34</v>
      </c>
      <c r="E144" s="339">
        <v>2820.15</v>
      </c>
      <c r="F144" s="339">
        <v>4364.5200000000004</v>
      </c>
      <c r="G144" s="339">
        <v>4883.08</v>
      </c>
      <c r="H144" s="339">
        <v>7782.34</v>
      </c>
      <c r="I144" s="126">
        <f t="shared" si="36"/>
        <v>300</v>
      </c>
      <c r="J144" s="127">
        <f t="shared" si="37"/>
        <v>4.0094408968317397E-2</v>
      </c>
      <c r="K144" s="14"/>
    </row>
    <row r="145" spans="1:11" ht="56.25" hidden="1" x14ac:dyDescent="0.2">
      <c r="A145" s="142">
        <v>2516</v>
      </c>
      <c r="B145" s="145" t="s">
        <v>165</v>
      </c>
      <c r="C145" s="339"/>
      <c r="D145" s="339">
        <v>0</v>
      </c>
      <c r="E145" s="339">
        <v>0</v>
      </c>
      <c r="F145" s="339">
        <v>0</v>
      </c>
      <c r="G145" s="339">
        <v>0</v>
      </c>
      <c r="H145" s="339">
        <v>0</v>
      </c>
      <c r="I145" s="126">
        <f t="shared" si="36"/>
        <v>0</v>
      </c>
      <c r="J145" s="127" t="str">
        <f t="shared" si="37"/>
        <v>-</v>
      </c>
      <c r="K145" s="14"/>
    </row>
    <row r="146" spans="1:11" x14ac:dyDescent="0.2">
      <c r="A146" s="109">
        <v>2518</v>
      </c>
      <c r="B146" s="158" t="s">
        <v>83</v>
      </c>
      <c r="C146" s="340">
        <v>2817</v>
      </c>
      <c r="D146" s="340">
        <v>2931.84</v>
      </c>
      <c r="E146" s="339">
        <v>730.08</v>
      </c>
      <c r="F146" s="339">
        <v>1459.8000000000002</v>
      </c>
      <c r="G146" s="339">
        <v>2193.84</v>
      </c>
      <c r="H146" s="340">
        <v>2931.84</v>
      </c>
      <c r="I146" s="126">
        <f t="shared" si="36"/>
        <v>0</v>
      </c>
      <c r="J146" s="127">
        <f t="shared" si="37"/>
        <v>0</v>
      </c>
      <c r="K146" s="14"/>
    </row>
    <row r="147" spans="1:11" s="123" customFormat="1" hidden="1" x14ac:dyDescent="0.2">
      <c r="A147" s="142">
        <v>2519</v>
      </c>
      <c r="B147" s="145" t="s">
        <v>84</v>
      </c>
      <c r="C147" s="339"/>
      <c r="D147" s="339">
        <v>0</v>
      </c>
      <c r="E147" s="339">
        <v>0</v>
      </c>
      <c r="F147" s="339">
        <v>0</v>
      </c>
      <c r="G147" s="339">
        <v>0</v>
      </c>
      <c r="H147" s="339">
        <v>0</v>
      </c>
      <c r="I147" s="126">
        <f t="shared" si="36"/>
        <v>0</v>
      </c>
      <c r="J147" s="127" t="str">
        <f t="shared" si="37"/>
        <v>-</v>
      </c>
      <c r="K147" s="14"/>
    </row>
    <row r="148" spans="1:11" ht="37.5" hidden="1" x14ac:dyDescent="0.2">
      <c r="A148" s="140">
        <v>2520</v>
      </c>
      <c r="B148" s="147" t="s">
        <v>443</v>
      </c>
      <c r="C148" s="342"/>
      <c r="D148" s="342">
        <v>0</v>
      </c>
      <c r="E148" s="342">
        <v>0</v>
      </c>
      <c r="F148" s="342">
        <v>0</v>
      </c>
      <c r="G148" s="342">
        <v>0</v>
      </c>
      <c r="H148" s="342">
        <v>0</v>
      </c>
      <c r="I148" s="131">
        <f t="shared" si="36"/>
        <v>0</v>
      </c>
      <c r="J148" s="132" t="str">
        <f t="shared" si="37"/>
        <v>-</v>
      </c>
      <c r="K148" s="15"/>
    </row>
    <row r="149" spans="1:11" ht="56.25" hidden="1" x14ac:dyDescent="0.2">
      <c r="A149" s="140">
        <v>2800</v>
      </c>
      <c r="B149" s="161" t="s">
        <v>85</v>
      </c>
      <c r="C149" s="344"/>
      <c r="D149" s="344">
        <v>0</v>
      </c>
      <c r="E149" s="342">
        <v>0</v>
      </c>
      <c r="F149" s="342">
        <v>0</v>
      </c>
      <c r="G149" s="342">
        <v>0</v>
      </c>
      <c r="H149" s="344">
        <v>0</v>
      </c>
      <c r="I149" s="131">
        <f t="shared" si="36"/>
        <v>0</v>
      </c>
      <c r="J149" s="132" t="str">
        <f t="shared" si="37"/>
        <v>-</v>
      </c>
      <c r="K149" s="15"/>
    </row>
    <row r="150" spans="1:11" ht="19.5" hidden="1" x14ac:dyDescent="0.2">
      <c r="A150" s="116">
        <v>4000</v>
      </c>
      <c r="B150" s="122" t="s">
        <v>86</v>
      </c>
      <c r="C150" s="338">
        <f t="shared" ref="C150" si="40">C151+C154+C158</f>
        <v>0</v>
      </c>
      <c r="D150" s="338">
        <v>0</v>
      </c>
      <c r="E150" s="338">
        <v>0</v>
      </c>
      <c r="F150" s="338">
        <v>0</v>
      </c>
      <c r="G150" s="338">
        <v>0</v>
      </c>
      <c r="H150" s="338">
        <v>0</v>
      </c>
      <c r="I150" s="118">
        <f t="shared" si="36"/>
        <v>0</v>
      </c>
      <c r="J150" s="119" t="str">
        <f t="shared" si="37"/>
        <v>-</v>
      </c>
      <c r="K150" s="120"/>
    </row>
    <row r="151" spans="1:11" ht="37.5" hidden="1" x14ac:dyDescent="0.2">
      <c r="A151" s="162">
        <v>4100</v>
      </c>
      <c r="B151" s="144" t="s">
        <v>87</v>
      </c>
      <c r="C151" s="338">
        <f t="shared" ref="C151" si="41">SUM(C152:C153)</f>
        <v>0</v>
      </c>
      <c r="D151" s="338">
        <v>0</v>
      </c>
      <c r="E151" s="338">
        <v>0</v>
      </c>
      <c r="F151" s="338">
        <v>0</v>
      </c>
      <c r="G151" s="338">
        <v>0</v>
      </c>
      <c r="H151" s="338">
        <v>0</v>
      </c>
      <c r="I151" s="118">
        <f t="shared" si="36"/>
        <v>0</v>
      </c>
      <c r="J151" s="119" t="str">
        <f t="shared" si="37"/>
        <v>-</v>
      </c>
      <c r="K151" s="120"/>
    </row>
    <row r="152" spans="1:11" ht="56.25" hidden="1" x14ac:dyDescent="0.2">
      <c r="A152" s="163">
        <v>4110</v>
      </c>
      <c r="B152" s="145" t="s">
        <v>354</v>
      </c>
      <c r="C152" s="339"/>
      <c r="D152" s="339">
        <v>0</v>
      </c>
      <c r="E152" s="339">
        <v>0</v>
      </c>
      <c r="F152" s="339">
        <v>0</v>
      </c>
      <c r="G152" s="339">
        <v>0</v>
      </c>
      <c r="H152" s="339">
        <v>0</v>
      </c>
      <c r="I152" s="126">
        <f t="shared" si="36"/>
        <v>0</v>
      </c>
      <c r="J152" s="127" t="str">
        <f t="shared" si="37"/>
        <v>-</v>
      </c>
      <c r="K152" s="14"/>
    </row>
    <row r="153" spans="1:11" ht="56.25" hidden="1" x14ac:dyDescent="0.2">
      <c r="A153" s="163">
        <v>4130</v>
      </c>
      <c r="B153" s="145" t="s">
        <v>88</v>
      </c>
      <c r="C153" s="339"/>
      <c r="D153" s="339">
        <v>0</v>
      </c>
      <c r="E153" s="339">
        <v>0</v>
      </c>
      <c r="F153" s="339">
        <v>0</v>
      </c>
      <c r="G153" s="339">
        <v>0</v>
      </c>
      <c r="H153" s="339">
        <v>0</v>
      </c>
      <c r="I153" s="126">
        <f t="shared" si="36"/>
        <v>0</v>
      </c>
      <c r="J153" s="127" t="str">
        <f t="shared" si="37"/>
        <v>-</v>
      </c>
      <c r="K153" s="14"/>
    </row>
    <row r="154" spans="1:11" ht="19.5" hidden="1" x14ac:dyDescent="0.2">
      <c r="A154" s="162">
        <v>4200</v>
      </c>
      <c r="B154" s="156" t="s">
        <v>89</v>
      </c>
      <c r="C154" s="338">
        <f t="shared" ref="C154" si="42">SUM(C155:C157)</f>
        <v>0</v>
      </c>
      <c r="D154" s="338">
        <v>0</v>
      </c>
      <c r="E154" s="338">
        <v>0</v>
      </c>
      <c r="F154" s="338">
        <v>0</v>
      </c>
      <c r="G154" s="338">
        <v>0</v>
      </c>
      <c r="H154" s="338">
        <v>0</v>
      </c>
      <c r="I154" s="118">
        <f t="shared" si="36"/>
        <v>0</v>
      </c>
      <c r="J154" s="119" t="str">
        <f t="shared" si="37"/>
        <v>-</v>
      </c>
      <c r="K154" s="120"/>
    </row>
    <row r="155" spans="1:11" s="164" customFormat="1" ht="37.5" hidden="1" x14ac:dyDescent="0.2">
      <c r="A155" s="163">
        <v>4230</v>
      </c>
      <c r="B155" s="145" t="s">
        <v>90</v>
      </c>
      <c r="C155" s="339"/>
      <c r="D155" s="339">
        <v>0</v>
      </c>
      <c r="E155" s="339">
        <v>0</v>
      </c>
      <c r="F155" s="339">
        <v>0</v>
      </c>
      <c r="G155" s="339">
        <v>0</v>
      </c>
      <c r="H155" s="339">
        <v>0</v>
      </c>
      <c r="I155" s="126">
        <f t="shared" si="36"/>
        <v>0</v>
      </c>
      <c r="J155" s="127" t="str">
        <f t="shared" si="37"/>
        <v>-</v>
      </c>
      <c r="K155" s="14"/>
    </row>
    <row r="156" spans="1:11" ht="37.5" hidden="1" x14ac:dyDescent="0.2">
      <c r="A156" s="163">
        <v>4240</v>
      </c>
      <c r="B156" s="143" t="s">
        <v>166</v>
      </c>
      <c r="C156" s="339"/>
      <c r="D156" s="339">
        <v>0</v>
      </c>
      <c r="E156" s="339">
        <v>0</v>
      </c>
      <c r="F156" s="339">
        <v>0</v>
      </c>
      <c r="G156" s="339">
        <v>0</v>
      </c>
      <c r="H156" s="339">
        <v>0</v>
      </c>
      <c r="I156" s="126">
        <f t="shared" si="36"/>
        <v>0</v>
      </c>
      <c r="J156" s="127" t="str">
        <f t="shared" si="37"/>
        <v>-</v>
      </c>
      <c r="K156" s="14"/>
    </row>
    <row r="157" spans="1:11" hidden="1" x14ac:dyDescent="0.2">
      <c r="A157" s="163">
        <v>4250</v>
      </c>
      <c r="B157" s="165" t="s">
        <v>167</v>
      </c>
      <c r="C157" s="339"/>
      <c r="D157" s="339">
        <v>0</v>
      </c>
      <c r="E157" s="339">
        <v>0</v>
      </c>
      <c r="F157" s="339">
        <v>0</v>
      </c>
      <c r="G157" s="339">
        <v>0</v>
      </c>
      <c r="H157" s="339">
        <v>0</v>
      </c>
      <c r="I157" s="126">
        <f t="shared" si="36"/>
        <v>0</v>
      </c>
      <c r="J157" s="127" t="str">
        <f t="shared" si="37"/>
        <v>-</v>
      </c>
      <c r="K157" s="14"/>
    </row>
    <row r="158" spans="1:11" ht="19.5" hidden="1" x14ac:dyDescent="0.2">
      <c r="A158" s="116">
        <v>4300</v>
      </c>
      <c r="B158" s="144" t="s">
        <v>91</v>
      </c>
      <c r="C158" s="338">
        <f t="shared" ref="C158" si="43">SUM(C159:C162)</f>
        <v>0</v>
      </c>
      <c r="D158" s="338">
        <v>0</v>
      </c>
      <c r="E158" s="338">
        <v>0</v>
      </c>
      <c r="F158" s="338">
        <v>0</v>
      </c>
      <c r="G158" s="338">
        <v>0</v>
      </c>
      <c r="H158" s="338">
        <v>0</v>
      </c>
      <c r="I158" s="118">
        <f t="shared" si="36"/>
        <v>0</v>
      </c>
      <c r="J158" s="119" t="str">
        <f t="shared" si="37"/>
        <v>-</v>
      </c>
      <c r="K158" s="120"/>
    </row>
    <row r="159" spans="1:11" hidden="1" x14ac:dyDescent="0.2">
      <c r="A159" s="142">
        <v>4310</v>
      </c>
      <c r="B159" s="145" t="s">
        <v>92</v>
      </c>
      <c r="C159" s="339"/>
      <c r="D159" s="339">
        <v>0</v>
      </c>
      <c r="E159" s="339">
        <v>0</v>
      </c>
      <c r="F159" s="339">
        <v>0</v>
      </c>
      <c r="G159" s="339">
        <v>0</v>
      </c>
      <c r="H159" s="339">
        <v>0</v>
      </c>
      <c r="I159" s="126">
        <f t="shared" si="36"/>
        <v>0</v>
      </c>
      <c r="J159" s="127" t="str">
        <f t="shared" si="37"/>
        <v>-</v>
      </c>
      <c r="K159" s="14"/>
    </row>
    <row r="160" spans="1:11" ht="37.5" hidden="1" x14ac:dyDescent="0.2">
      <c r="A160" s="142">
        <v>4330</v>
      </c>
      <c r="B160" s="145" t="s">
        <v>444</v>
      </c>
      <c r="C160" s="339"/>
      <c r="D160" s="339">
        <v>0</v>
      </c>
      <c r="E160" s="339">
        <v>0</v>
      </c>
      <c r="F160" s="339">
        <v>0</v>
      </c>
      <c r="G160" s="339">
        <v>0</v>
      </c>
      <c r="H160" s="339">
        <v>0</v>
      </c>
      <c r="I160" s="126">
        <f t="shared" si="36"/>
        <v>0</v>
      </c>
      <c r="J160" s="127" t="str">
        <f t="shared" si="37"/>
        <v>-</v>
      </c>
      <c r="K160" s="14"/>
    </row>
    <row r="161" spans="1:11" ht="37.5" hidden="1" x14ac:dyDescent="0.2">
      <c r="A161" s="109">
        <v>4340</v>
      </c>
      <c r="B161" s="158" t="s">
        <v>168</v>
      </c>
      <c r="C161" s="339"/>
      <c r="D161" s="340">
        <v>0</v>
      </c>
      <c r="E161" s="339">
        <v>0</v>
      </c>
      <c r="F161" s="339">
        <v>0</v>
      </c>
      <c r="G161" s="339">
        <v>0</v>
      </c>
      <c r="H161" s="339">
        <v>0</v>
      </c>
      <c r="I161" s="126">
        <f t="shared" si="36"/>
        <v>0</v>
      </c>
      <c r="J161" s="127" t="str">
        <f t="shared" si="37"/>
        <v>-</v>
      </c>
      <c r="K161" s="14"/>
    </row>
    <row r="162" spans="1:11" ht="37.5" hidden="1" x14ac:dyDescent="0.2">
      <c r="A162" s="109">
        <v>4390</v>
      </c>
      <c r="B162" s="158" t="s">
        <v>445</v>
      </c>
      <c r="C162" s="339"/>
      <c r="D162" s="340">
        <v>0</v>
      </c>
      <c r="E162" s="339">
        <v>0</v>
      </c>
      <c r="F162" s="339">
        <v>0</v>
      </c>
      <c r="G162" s="339">
        <v>0</v>
      </c>
      <c r="H162" s="339">
        <v>0</v>
      </c>
      <c r="I162" s="126">
        <f t="shared" si="36"/>
        <v>0</v>
      </c>
      <c r="J162" s="127" t="str">
        <f t="shared" si="37"/>
        <v>-</v>
      </c>
      <c r="K162" s="14"/>
    </row>
    <row r="163" spans="1:11" ht="19.5" x14ac:dyDescent="0.2">
      <c r="A163" s="116" t="s">
        <v>93</v>
      </c>
      <c r="B163" s="117" t="s">
        <v>94</v>
      </c>
      <c r="C163" s="338">
        <f>C34</f>
        <v>18195167.199999999</v>
      </c>
      <c r="D163" s="338">
        <f t="shared" ref="D163:H163" si="44">D34</f>
        <v>18212246.659999996</v>
      </c>
      <c r="E163" s="338">
        <f t="shared" si="44"/>
        <v>5168732.8146000002</v>
      </c>
      <c r="F163" s="338">
        <f t="shared" si="44"/>
        <v>10155240.918400001</v>
      </c>
      <c r="G163" s="338">
        <f t="shared" si="44"/>
        <v>15502564.552699998</v>
      </c>
      <c r="H163" s="338">
        <f t="shared" si="44"/>
        <v>21444158.740300003</v>
      </c>
      <c r="I163" s="118">
        <f t="shared" si="36"/>
        <v>3231912.080300007</v>
      </c>
      <c r="J163" s="119">
        <f t="shared" si="37"/>
        <v>0.17745817639282993</v>
      </c>
      <c r="K163" s="120"/>
    </row>
    <row r="164" spans="1:11" ht="37.5" x14ac:dyDescent="0.2">
      <c r="A164" s="116" t="s">
        <v>95</v>
      </c>
      <c r="B164" s="117" t="s">
        <v>351</v>
      </c>
      <c r="C164" s="338">
        <f t="shared" ref="C164:H164" si="45">C3-C163</f>
        <v>1560862.9999999963</v>
      </c>
      <c r="D164" s="338">
        <f t="shared" si="45"/>
        <v>1233777.9300000034</v>
      </c>
      <c r="E164" s="338">
        <f t="shared" si="45"/>
        <v>535629.64878525119</v>
      </c>
      <c r="F164" s="338">
        <f t="shared" si="45"/>
        <v>1007610.4969121087</v>
      </c>
      <c r="G164" s="338">
        <f t="shared" si="45"/>
        <v>1259365.1364267394</v>
      </c>
      <c r="H164" s="338">
        <f t="shared" si="45"/>
        <v>1270950.3171999976</v>
      </c>
      <c r="I164" s="118">
        <f t="shared" si="36"/>
        <v>37172.387199994177</v>
      </c>
      <c r="J164" s="119">
        <f t="shared" si="37"/>
        <v>3.0128912421049769E-2</v>
      </c>
      <c r="K164" s="120"/>
    </row>
    <row r="165" spans="1:11" ht="19.5" x14ac:dyDescent="0.2">
      <c r="A165" s="166">
        <v>5000</v>
      </c>
      <c r="B165" s="167" t="s">
        <v>96</v>
      </c>
      <c r="C165" s="349">
        <f t="shared" ref="C165:H165" si="46">C166+C167</f>
        <v>796804</v>
      </c>
      <c r="D165" s="349">
        <f t="shared" si="46"/>
        <v>720108.91000000015</v>
      </c>
      <c r="E165" s="349">
        <f t="shared" si="46"/>
        <v>176354.11000000002</v>
      </c>
      <c r="F165" s="349">
        <f t="shared" si="46"/>
        <v>357081.73000000004</v>
      </c>
      <c r="G165" s="349">
        <f t="shared" si="46"/>
        <v>538582.91</v>
      </c>
      <c r="H165" s="349">
        <f t="shared" si="46"/>
        <v>720108.91000000015</v>
      </c>
      <c r="I165" s="118">
        <f t="shared" si="36"/>
        <v>0</v>
      </c>
      <c r="J165" s="119">
        <f t="shared" si="37"/>
        <v>0</v>
      </c>
      <c r="K165" s="120"/>
    </row>
    <row r="166" spans="1:11" x14ac:dyDescent="0.2">
      <c r="A166" s="168">
        <v>5100</v>
      </c>
      <c r="B166" s="130" t="s">
        <v>446</v>
      </c>
      <c r="C166" s="339">
        <v>24798</v>
      </c>
      <c r="D166" s="339">
        <v>24784.909999999996</v>
      </c>
      <c r="E166" s="339">
        <v>6218.1900000000005</v>
      </c>
      <c r="F166" s="339">
        <v>12436.38</v>
      </c>
      <c r="G166" s="339">
        <v>18684.429999999997</v>
      </c>
      <c r="H166" s="339">
        <v>24784.909999999996</v>
      </c>
      <c r="I166" s="126">
        <f t="shared" si="36"/>
        <v>0</v>
      </c>
      <c r="J166" s="127">
        <f t="shared" si="37"/>
        <v>0</v>
      </c>
      <c r="K166" s="14"/>
    </row>
    <row r="167" spans="1:11" ht="19.5" x14ac:dyDescent="0.2">
      <c r="A167" s="169">
        <v>5200</v>
      </c>
      <c r="B167" s="122" t="s">
        <v>97</v>
      </c>
      <c r="C167" s="338">
        <f t="shared" ref="C167" si="47">SUM(C168:C171)</f>
        <v>772006</v>
      </c>
      <c r="D167" s="338">
        <v>695324.00000000012</v>
      </c>
      <c r="E167" s="338">
        <v>170135.92</v>
      </c>
      <c r="F167" s="338">
        <v>344645.35000000003</v>
      </c>
      <c r="G167" s="338">
        <v>519898.48000000004</v>
      </c>
      <c r="H167" s="338">
        <v>695324.00000000012</v>
      </c>
      <c r="I167" s="118">
        <f t="shared" si="36"/>
        <v>0</v>
      </c>
      <c r="J167" s="119">
        <f t="shared" si="37"/>
        <v>0</v>
      </c>
      <c r="K167" s="120"/>
    </row>
    <row r="168" spans="1:11" ht="37.5" x14ac:dyDescent="0.2">
      <c r="A168" s="170">
        <v>5210</v>
      </c>
      <c r="B168" s="125" t="s">
        <v>98</v>
      </c>
      <c r="C168" s="339">
        <f>704006+18000+50000</f>
        <v>772006</v>
      </c>
      <c r="D168" s="339">
        <v>0</v>
      </c>
      <c r="E168" s="339">
        <v>0</v>
      </c>
      <c r="F168" s="339">
        <v>0</v>
      </c>
      <c r="G168" s="339">
        <v>0</v>
      </c>
      <c r="H168" s="339">
        <v>0</v>
      </c>
      <c r="I168" s="126">
        <f t="shared" si="36"/>
        <v>0</v>
      </c>
      <c r="J168" s="127" t="str">
        <f t="shared" si="37"/>
        <v>-</v>
      </c>
      <c r="K168" s="397"/>
    </row>
    <row r="169" spans="1:11" ht="37.5" hidden="1" x14ac:dyDescent="0.2">
      <c r="A169" s="170">
        <v>5220</v>
      </c>
      <c r="B169" s="125" t="s">
        <v>99</v>
      </c>
      <c r="C169" s="339"/>
      <c r="D169" s="339">
        <v>0</v>
      </c>
      <c r="E169" s="339">
        <v>0</v>
      </c>
      <c r="F169" s="339">
        <v>0</v>
      </c>
      <c r="G169" s="339">
        <v>0</v>
      </c>
      <c r="H169" s="339">
        <v>0</v>
      </c>
      <c r="I169" s="126">
        <f t="shared" si="36"/>
        <v>0</v>
      </c>
      <c r="J169" s="127" t="str">
        <f t="shared" si="37"/>
        <v>-</v>
      </c>
      <c r="K169" s="14"/>
    </row>
    <row r="170" spans="1:11" ht="37.5" hidden="1" x14ac:dyDescent="0.2">
      <c r="A170" s="170">
        <v>5230</v>
      </c>
      <c r="B170" s="125" t="s">
        <v>100</v>
      </c>
      <c r="C170" s="339"/>
      <c r="D170" s="339">
        <v>0</v>
      </c>
      <c r="E170" s="339">
        <v>0</v>
      </c>
      <c r="F170" s="339">
        <v>0</v>
      </c>
      <c r="G170" s="339">
        <v>0</v>
      </c>
      <c r="H170" s="339">
        <v>0</v>
      </c>
      <c r="I170" s="126">
        <f t="shared" si="36"/>
        <v>0</v>
      </c>
      <c r="J170" s="127" t="str">
        <f t="shared" si="37"/>
        <v>-</v>
      </c>
      <c r="K170" s="14"/>
    </row>
    <row r="171" spans="1:11" ht="56.25" hidden="1" x14ac:dyDescent="0.2">
      <c r="A171" s="170">
        <v>5240</v>
      </c>
      <c r="B171" s="125" t="s">
        <v>356</v>
      </c>
      <c r="C171" s="339"/>
      <c r="D171" s="339">
        <v>0</v>
      </c>
      <c r="E171" s="339">
        <v>0</v>
      </c>
      <c r="F171" s="339">
        <v>0</v>
      </c>
      <c r="G171" s="339">
        <v>0</v>
      </c>
      <c r="H171" s="339">
        <v>0</v>
      </c>
      <c r="I171" s="126">
        <f t="shared" si="36"/>
        <v>0</v>
      </c>
      <c r="J171" s="127" t="str">
        <f t="shared" si="37"/>
        <v>-</v>
      </c>
      <c r="K171" s="14"/>
    </row>
    <row r="172" spans="1:11" ht="56.25" x14ac:dyDescent="0.2">
      <c r="A172" s="116" t="s">
        <v>101</v>
      </c>
      <c r="B172" s="117" t="s">
        <v>352</v>
      </c>
      <c r="C172" s="338">
        <f t="shared" ref="C172:H172" si="48">C164-C165</f>
        <v>764058.99999999627</v>
      </c>
      <c r="D172" s="338">
        <f t="shared" si="48"/>
        <v>513669.02000000328</v>
      </c>
      <c r="E172" s="338">
        <f t="shared" si="48"/>
        <v>359275.53878525121</v>
      </c>
      <c r="F172" s="338">
        <f t="shared" si="48"/>
        <v>650528.76691210875</v>
      </c>
      <c r="G172" s="338">
        <f t="shared" si="48"/>
        <v>720782.22642673936</v>
      </c>
      <c r="H172" s="338">
        <f t="shared" si="48"/>
        <v>550841.40719999745</v>
      </c>
      <c r="I172" s="118">
        <f t="shared" si="36"/>
        <v>37172.387199994177</v>
      </c>
      <c r="J172" s="119">
        <f t="shared" si="37"/>
        <v>7.2366418360199997E-2</v>
      </c>
      <c r="K172" s="120"/>
    </row>
    <row r="173" spans="1:11" ht="19.5" x14ac:dyDescent="0.2">
      <c r="A173" s="171" t="s">
        <v>169</v>
      </c>
      <c r="B173" s="122" t="s">
        <v>102</v>
      </c>
      <c r="C173" s="338">
        <f t="shared" ref="C173:H173" si="49">SUM(C174:C181)</f>
        <v>26463</v>
      </c>
      <c r="D173" s="338">
        <f t="shared" si="49"/>
        <v>74538.600000000006</v>
      </c>
      <c r="E173" s="338">
        <f t="shared" si="49"/>
        <v>4372.5300000000007</v>
      </c>
      <c r="F173" s="338">
        <f t="shared" si="49"/>
        <v>13756.550000000001</v>
      </c>
      <c r="G173" s="338">
        <f t="shared" si="49"/>
        <v>13982.439999999999</v>
      </c>
      <c r="H173" s="338">
        <f t="shared" si="49"/>
        <v>74519.600000000006</v>
      </c>
      <c r="I173" s="118">
        <f t="shared" si="36"/>
        <v>-19</v>
      </c>
      <c r="J173" s="119">
        <f t="shared" si="37"/>
        <v>-2.5490148728309894E-4</v>
      </c>
      <c r="K173" s="120"/>
    </row>
    <row r="174" spans="1:11" x14ac:dyDescent="0.2">
      <c r="A174" s="172" t="s">
        <v>170</v>
      </c>
      <c r="B174" s="125" t="s">
        <v>103</v>
      </c>
      <c r="C174" s="339"/>
      <c r="D174" s="339">
        <v>1.05</v>
      </c>
      <c r="E174" s="339">
        <v>0</v>
      </c>
      <c r="F174" s="339">
        <v>0.15</v>
      </c>
      <c r="G174" s="339">
        <v>0.6</v>
      </c>
      <c r="H174" s="339">
        <v>1.05</v>
      </c>
      <c r="I174" s="126">
        <f t="shared" si="36"/>
        <v>0</v>
      </c>
      <c r="J174" s="127">
        <f t="shared" si="37"/>
        <v>0</v>
      </c>
      <c r="K174" s="14"/>
    </row>
    <row r="175" spans="1:11" x14ac:dyDescent="0.2">
      <c r="A175" s="172" t="s">
        <v>171</v>
      </c>
      <c r="B175" s="125" t="s">
        <v>104</v>
      </c>
      <c r="C175" s="339">
        <v>308</v>
      </c>
      <c r="D175" s="339">
        <v>27.3</v>
      </c>
      <c r="E175" s="339">
        <v>4.43</v>
      </c>
      <c r="F175" s="339">
        <v>18.3</v>
      </c>
      <c r="G175" s="339">
        <v>21.360000000000003</v>
      </c>
      <c r="H175" s="339">
        <v>27.3</v>
      </c>
      <c r="I175" s="126">
        <f t="shared" si="36"/>
        <v>0</v>
      </c>
      <c r="J175" s="127">
        <f t="shared" si="37"/>
        <v>0</v>
      </c>
      <c r="K175" s="14"/>
    </row>
    <row r="176" spans="1:11" ht="37.5" hidden="1" x14ac:dyDescent="0.2">
      <c r="A176" s="172" t="s">
        <v>172</v>
      </c>
      <c r="B176" s="125" t="s">
        <v>353</v>
      </c>
      <c r="C176" s="339"/>
      <c r="D176" s="339">
        <v>0</v>
      </c>
      <c r="E176" s="339">
        <v>0</v>
      </c>
      <c r="F176" s="339">
        <v>0</v>
      </c>
      <c r="G176" s="339">
        <v>0</v>
      </c>
      <c r="H176" s="339">
        <v>0</v>
      </c>
      <c r="I176" s="126">
        <f t="shared" si="36"/>
        <v>0</v>
      </c>
      <c r="J176" s="127" t="str">
        <f t="shared" si="37"/>
        <v>-</v>
      </c>
      <c r="K176" s="14"/>
    </row>
    <row r="177" spans="1:11" hidden="1" x14ac:dyDescent="0.2">
      <c r="A177" s="172" t="s">
        <v>173</v>
      </c>
      <c r="B177" s="125" t="s">
        <v>105</v>
      </c>
      <c r="C177" s="339"/>
      <c r="D177" s="339">
        <v>0</v>
      </c>
      <c r="E177" s="339">
        <v>0</v>
      </c>
      <c r="F177" s="339">
        <v>0</v>
      </c>
      <c r="G177" s="339">
        <v>0</v>
      </c>
      <c r="H177" s="339">
        <v>0</v>
      </c>
      <c r="I177" s="126">
        <f t="shared" si="36"/>
        <v>0</v>
      </c>
      <c r="J177" s="127" t="str">
        <f t="shared" si="37"/>
        <v>-</v>
      </c>
      <c r="K177" s="14"/>
    </row>
    <row r="178" spans="1:11" hidden="1" x14ac:dyDescent="0.2">
      <c r="A178" s="172" t="s">
        <v>174</v>
      </c>
      <c r="B178" s="125" t="s">
        <v>106</v>
      </c>
      <c r="C178" s="339"/>
      <c r="D178" s="339">
        <v>0</v>
      </c>
      <c r="E178" s="339">
        <v>0</v>
      </c>
      <c r="F178" s="339">
        <v>0</v>
      </c>
      <c r="G178" s="339">
        <v>0</v>
      </c>
      <c r="H178" s="339">
        <v>0</v>
      </c>
      <c r="I178" s="126">
        <f t="shared" si="36"/>
        <v>0</v>
      </c>
      <c r="J178" s="127" t="str">
        <f t="shared" si="37"/>
        <v>-</v>
      </c>
      <c r="K178" s="14"/>
    </row>
    <row r="179" spans="1:11" ht="37.5" hidden="1" x14ac:dyDescent="0.2">
      <c r="A179" s="172" t="s">
        <v>175</v>
      </c>
      <c r="B179" s="125" t="s">
        <v>107</v>
      </c>
      <c r="C179" s="339"/>
      <c r="D179" s="339">
        <v>58840</v>
      </c>
      <c r="E179" s="339">
        <v>0</v>
      </c>
      <c r="F179" s="339">
        <v>0</v>
      </c>
      <c r="G179" s="339">
        <v>0</v>
      </c>
      <c r="H179" s="339">
        <v>58840</v>
      </c>
      <c r="I179" s="126">
        <f t="shared" si="36"/>
        <v>0</v>
      </c>
      <c r="J179" s="127">
        <f t="shared" si="37"/>
        <v>0</v>
      </c>
      <c r="K179" s="14"/>
    </row>
    <row r="180" spans="1:11" ht="37.5" hidden="1" x14ac:dyDescent="0.2">
      <c r="A180" s="172" t="s">
        <v>176</v>
      </c>
      <c r="B180" s="125" t="s">
        <v>149</v>
      </c>
      <c r="C180" s="339"/>
      <c r="D180" s="339">
        <v>0</v>
      </c>
      <c r="E180" s="339">
        <v>0</v>
      </c>
      <c r="F180" s="339">
        <v>0</v>
      </c>
      <c r="G180" s="339">
        <v>0</v>
      </c>
      <c r="H180" s="339">
        <v>0</v>
      </c>
      <c r="I180" s="126">
        <f t="shared" si="36"/>
        <v>0</v>
      </c>
      <c r="J180" s="127" t="str">
        <f t="shared" si="37"/>
        <v>-</v>
      </c>
      <c r="K180" s="14"/>
    </row>
    <row r="181" spans="1:11" x14ac:dyDescent="0.2">
      <c r="A181" s="172" t="s">
        <v>177</v>
      </c>
      <c r="B181" s="125" t="s">
        <v>108</v>
      </c>
      <c r="C181" s="339">
        <v>26155</v>
      </c>
      <c r="D181" s="339">
        <v>15670.25</v>
      </c>
      <c r="E181" s="339">
        <v>4368.1000000000004</v>
      </c>
      <c r="F181" s="339">
        <v>13738.1</v>
      </c>
      <c r="G181" s="339">
        <v>13960.48</v>
      </c>
      <c r="H181" s="339">
        <v>15651.25</v>
      </c>
      <c r="I181" s="126">
        <f t="shared" si="36"/>
        <v>-19</v>
      </c>
      <c r="J181" s="127">
        <f t="shared" si="37"/>
        <v>-1.2124886329190664E-3</v>
      </c>
      <c r="K181" s="14"/>
    </row>
    <row r="182" spans="1:11" ht="19.5" x14ac:dyDescent="0.2">
      <c r="A182" s="116" t="s">
        <v>109</v>
      </c>
      <c r="B182" s="117" t="s">
        <v>110</v>
      </c>
      <c r="C182" s="338">
        <f t="shared" ref="C182:H182" si="50">C3+C173</f>
        <v>19782493.199999996</v>
      </c>
      <c r="D182" s="338">
        <f t="shared" si="50"/>
        <v>19520563.190000001</v>
      </c>
      <c r="E182" s="338">
        <f t="shared" si="50"/>
        <v>5708734.9933852516</v>
      </c>
      <c r="F182" s="338">
        <f t="shared" si="50"/>
        <v>11176607.96531211</v>
      </c>
      <c r="G182" s="338">
        <f t="shared" si="50"/>
        <v>16775912.129126737</v>
      </c>
      <c r="H182" s="338">
        <f t="shared" si="50"/>
        <v>22789628.657500003</v>
      </c>
      <c r="I182" s="118">
        <f t="shared" si="36"/>
        <v>3269065.4675000012</v>
      </c>
      <c r="J182" s="119">
        <f t="shared" si="37"/>
        <v>0.1674677843913171</v>
      </c>
      <c r="K182" s="120"/>
    </row>
    <row r="183" spans="1:11" ht="19.5" x14ac:dyDescent="0.2">
      <c r="A183" s="149">
        <v>8000</v>
      </c>
      <c r="B183" s="122" t="s">
        <v>111</v>
      </c>
      <c r="C183" s="338">
        <f>SUM(C184:C190)</f>
        <v>345681</v>
      </c>
      <c r="D183" s="338">
        <f t="shared" ref="D183:H183" si="51">SUM(D184:D190)</f>
        <v>43004.019999999888</v>
      </c>
      <c r="E183" s="338">
        <f t="shared" si="51"/>
        <v>1781.0099999999998</v>
      </c>
      <c r="F183" s="338">
        <f t="shared" si="51"/>
        <v>12637.23</v>
      </c>
      <c r="G183" s="338">
        <f t="shared" si="51"/>
        <v>22935.13</v>
      </c>
      <c r="H183" s="338">
        <f t="shared" si="51"/>
        <v>79009.150000000009</v>
      </c>
      <c r="I183" s="118">
        <f t="shared" si="36"/>
        <v>36005.130000000121</v>
      </c>
      <c r="J183" s="119">
        <f t="shared" si="37"/>
        <v>0.83725033148064332</v>
      </c>
      <c r="K183" s="120"/>
    </row>
    <row r="184" spans="1:11" x14ac:dyDescent="0.2">
      <c r="A184" s="142">
        <v>8100</v>
      </c>
      <c r="B184" s="125" t="s">
        <v>178</v>
      </c>
      <c r="C184" s="339"/>
      <c r="D184" s="339">
        <v>0</v>
      </c>
      <c r="E184" s="339">
        <v>0</v>
      </c>
      <c r="F184" s="339">
        <v>0</v>
      </c>
      <c r="G184" s="339">
        <v>0</v>
      </c>
      <c r="H184" s="339">
        <v>0</v>
      </c>
      <c r="I184" s="126">
        <f t="shared" si="36"/>
        <v>0</v>
      </c>
      <c r="J184" s="127" t="str">
        <f t="shared" si="37"/>
        <v>-</v>
      </c>
      <c r="K184" s="14"/>
    </row>
    <row r="185" spans="1:11" x14ac:dyDescent="0.2">
      <c r="A185" s="142">
        <v>8200</v>
      </c>
      <c r="B185" s="125" t="s">
        <v>114</v>
      </c>
      <c r="C185" s="339">
        <v>47</v>
      </c>
      <c r="D185" s="339">
        <v>0</v>
      </c>
      <c r="E185" s="339">
        <v>0</v>
      </c>
      <c r="F185" s="339">
        <v>0</v>
      </c>
      <c r="G185" s="339">
        <v>0</v>
      </c>
      <c r="H185" s="339">
        <v>0</v>
      </c>
      <c r="I185" s="126">
        <f t="shared" si="36"/>
        <v>0</v>
      </c>
      <c r="J185" s="127" t="str">
        <f t="shared" si="37"/>
        <v>-</v>
      </c>
      <c r="K185" s="14"/>
    </row>
    <row r="186" spans="1:11" x14ac:dyDescent="0.2">
      <c r="A186" s="142">
        <v>8300</v>
      </c>
      <c r="B186" s="125" t="s">
        <v>113</v>
      </c>
      <c r="C186" s="339">
        <v>13473</v>
      </c>
      <c r="D186" s="339">
        <v>19764.680000000004</v>
      </c>
      <c r="E186" s="339">
        <v>541.15</v>
      </c>
      <c r="F186" s="339">
        <v>9930.25</v>
      </c>
      <c r="G186" s="339">
        <v>18950.010000000002</v>
      </c>
      <c r="H186" s="339">
        <v>19764.680000000004</v>
      </c>
      <c r="I186" s="126">
        <f t="shared" si="36"/>
        <v>0</v>
      </c>
      <c r="J186" s="127">
        <f t="shared" si="37"/>
        <v>0</v>
      </c>
      <c r="K186" s="14"/>
    </row>
    <row r="187" spans="1:11" ht="37.5" x14ac:dyDescent="0.2">
      <c r="A187" s="142">
        <v>8600</v>
      </c>
      <c r="B187" s="125" t="s">
        <v>179</v>
      </c>
      <c r="C187" s="339">
        <f>39978+20000</f>
        <v>59978</v>
      </c>
      <c r="D187" s="339">
        <v>33766.31</v>
      </c>
      <c r="E187" s="339">
        <v>0</v>
      </c>
      <c r="F187" s="339">
        <v>0</v>
      </c>
      <c r="G187" s="339">
        <v>0</v>
      </c>
      <c r="H187" s="339">
        <v>33766.31</v>
      </c>
      <c r="I187" s="126">
        <f t="shared" si="36"/>
        <v>0</v>
      </c>
      <c r="J187" s="127">
        <f>IFERROR(I187/ABS(D187), "-")</f>
        <v>0</v>
      </c>
      <c r="K187" s="397"/>
    </row>
    <row r="188" spans="1:11" ht="37.5" x14ac:dyDescent="0.2">
      <c r="A188" s="142">
        <v>8700</v>
      </c>
      <c r="B188" s="125" t="s">
        <v>355</v>
      </c>
      <c r="C188" s="339">
        <v>264743</v>
      </c>
      <c r="D188" s="339">
        <v>-16005.130000000121</v>
      </c>
      <c r="E188" s="339">
        <v>0</v>
      </c>
      <c r="F188" s="339">
        <v>0</v>
      </c>
      <c r="G188" s="339">
        <v>0</v>
      </c>
      <c r="H188" s="339">
        <v>20000</v>
      </c>
      <c r="I188" s="126">
        <f t="shared" si="36"/>
        <v>36005.130000000121</v>
      </c>
      <c r="J188" s="127">
        <f t="shared" ref="J188:J193" si="52">IFERROR(I188/ABS(D188), "-")</f>
        <v>2.2495993472092914</v>
      </c>
      <c r="K188" s="375" t="s">
        <v>672</v>
      </c>
    </row>
    <row r="189" spans="1:11" x14ac:dyDescent="0.2">
      <c r="A189" s="142">
        <v>8800</v>
      </c>
      <c r="B189" s="173" t="s">
        <v>112</v>
      </c>
      <c r="C189" s="340">
        <v>7440</v>
      </c>
      <c r="D189" s="340">
        <v>5478.1600000000008</v>
      </c>
      <c r="E189" s="339">
        <v>1239.8599999999999</v>
      </c>
      <c r="F189" s="339">
        <v>2706.98</v>
      </c>
      <c r="G189" s="339">
        <v>3985.12</v>
      </c>
      <c r="H189" s="340">
        <v>5478.1600000000008</v>
      </c>
      <c r="I189" s="126">
        <f t="shared" si="36"/>
        <v>0</v>
      </c>
      <c r="J189" s="127">
        <f t="shared" si="52"/>
        <v>0</v>
      </c>
      <c r="K189" s="14"/>
    </row>
    <row r="190" spans="1:11" ht="56.25" hidden="1" x14ac:dyDescent="0.2">
      <c r="A190" s="109">
        <v>8900</v>
      </c>
      <c r="B190" s="174" t="s">
        <v>180</v>
      </c>
      <c r="C190" s="340"/>
      <c r="D190" s="340">
        <v>0</v>
      </c>
      <c r="E190" s="339">
        <v>0</v>
      </c>
      <c r="F190" s="339">
        <v>0</v>
      </c>
      <c r="G190" s="339">
        <v>0</v>
      </c>
      <c r="H190" s="340">
        <v>0</v>
      </c>
      <c r="I190" s="126">
        <f t="shared" si="36"/>
        <v>0</v>
      </c>
      <c r="J190" s="127" t="str">
        <f t="shared" si="52"/>
        <v>-</v>
      </c>
      <c r="K190" s="14"/>
    </row>
    <row r="191" spans="1:11" ht="19.5" x14ac:dyDescent="0.2">
      <c r="A191" s="116" t="s">
        <v>115</v>
      </c>
      <c r="B191" s="117" t="s">
        <v>116</v>
      </c>
      <c r="C191" s="338">
        <f t="shared" ref="C191:H191" si="53">C163+C165+C183</f>
        <v>19337652.199999999</v>
      </c>
      <c r="D191" s="338">
        <f t="shared" si="53"/>
        <v>18975359.589999996</v>
      </c>
      <c r="E191" s="338">
        <f t="shared" si="53"/>
        <v>5346867.9346000003</v>
      </c>
      <c r="F191" s="338">
        <f t="shared" si="53"/>
        <v>10524959.878400002</v>
      </c>
      <c r="G191" s="338">
        <f t="shared" si="53"/>
        <v>16064082.592699999</v>
      </c>
      <c r="H191" s="338">
        <f t="shared" si="53"/>
        <v>22243276.800300002</v>
      </c>
      <c r="I191" s="118">
        <f t="shared" si="36"/>
        <v>3267917.210300006</v>
      </c>
      <c r="J191" s="119">
        <f t="shared" si="52"/>
        <v>0.17221898719759685</v>
      </c>
      <c r="K191" s="120"/>
    </row>
    <row r="192" spans="1:11" x14ac:dyDescent="0.2">
      <c r="A192" s="175" t="s">
        <v>181</v>
      </c>
      <c r="B192" s="176" t="s">
        <v>117</v>
      </c>
      <c r="C192" s="339"/>
      <c r="D192" s="344">
        <v>0</v>
      </c>
      <c r="E192" s="339">
        <v>0</v>
      </c>
      <c r="F192" s="339">
        <v>0</v>
      </c>
      <c r="G192" s="339">
        <v>0</v>
      </c>
      <c r="H192" s="339">
        <v>0</v>
      </c>
      <c r="I192" s="126">
        <f t="shared" si="36"/>
        <v>0</v>
      </c>
      <c r="J192" s="127" t="str">
        <f t="shared" si="52"/>
        <v>-</v>
      </c>
      <c r="K192" s="14"/>
    </row>
    <row r="193" spans="1:11" ht="19.5" x14ac:dyDescent="0.2">
      <c r="A193" s="116" t="s">
        <v>182</v>
      </c>
      <c r="B193" s="117" t="s">
        <v>118</v>
      </c>
      <c r="C193" s="338">
        <f>C172+C173-C183-C192</f>
        <v>444840.99999999627</v>
      </c>
      <c r="D193" s="338">
        <f>D172+D173-D183-D192</f>
        <v>545203.60000000335</v>
      </c>
      <c r="E193" s="338">
        <f t="shared" ref="E193:H193" si="54">E172+E173-E183-E192</f>
        <v>361867.05878525123</v>
      </c>
      <c r="F193" s="338">
        <f t="shared" si="54"/>
        <v>651648.08691210882</v>
      </c>
      <c r="G193" s="338">
        <f t="shared" si="54"/>
        <v>711829.5364267393</v>
      </c>
      <c r="H193" s="338">
        <f t="shared" si="54"/>
        <v>546351.85719999741</v>
      </c>
      <c r="I193" s="118">
        <f>H193-D193</f>
        <v>1148.2571999940556</v>
      </c>
      <c r="J193" s="119">
        <f t="shared" si="52"/>
        <v>2.1061071496850875E-3</v>
      </c>
      <c r="K193" s="120"/>
    </row>
    <row r="195" spans="1:11" x14ac:dyDescent="0.2">
      <c r="A195" s="413" t="s">
        <v>597</v>
      </c>
      <c r="B195" s="413"/>
      <c r="C195" s="413"/>
      <c r="D195" s="413"/>
      <c r="E195" s="413"/>
      <c r="F195" s="413"/>
      <c r="G195" s="413"/>
      <c r="H195" s="413"/>
      <c r="I195" s="413"/>
      <c r="J195" s="413"/>
      <c r="K195" s="413"/>
    </row>
  </sheetData>
  <mergeCells count="1">
    <mergeCell ref="A195:K195"/>
  </mergeCells>
  <pageMargins left="0.70866141732283472" right="0.70866141732283472" top="0.74803149606299213" bottom="0.74803149606299213"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143"/>
  <sheetViews>
    <sheetView topLeftCell="A53" zoomScale="80" zoomScaleNormal="80" workbookViewId="0">
      <selection activeCell="E11" sqref="E11"/>
    </sheetView>
  </sheetViews>
  <sheetFormatPr defaultColWidth="9.140625" defaultRowHeight="18.75" x14ac:dyDescent="0.2"/>
  <cols>
    <col min="1" max="1" width="8.42578125" style="82" bestFit="1" customWidth="1"/>
    <col min="2" max="2" width="47.5703125" style="32" customWidth="1"/>
    <col min="3" max="3" width="15" style="32" bestFit="1" customWidth="1"/>
    <col min="4" max="4" width="14.42578125" style="180" customWidth="1"/>
    <col min="5" max="8" width="15" style="32" bestFit="1" customWidth="1"/>
    <col min="9" max="16384" width="9.140625" style="32"/>
  </cols>
  <sheetData>
    <row r="1" spans="1:8" ht="56.25" x14ac:dyDescent="0.2">
      <c r="A1" s="12" t="s">
        <v>0</v>
      </c>
      <c r="B1" s="11" t="s">
        <v>469</v>
      </c>
      <c r="C1" s="1" t="s">
        <v>604</v>
      </c>
      <c r="D1" s="1" t="s">
        <v>605</v>
      </c>
      <c r="E1" s="1" t="s">
        <v>606</v>
      </c>
      <c r="F1" s="1" t="s">
        <v>607</v>
      </c>
      <c r="G1" s="1" t="s">
        <v>608</v>
      </c>
      <c r="H1" s="1" t="s">
        <v>609</v>
      </c>
    </row>
    <row r="2" spans="1:8" x14ac:dyDescent="0.2">
      <c r="A2" s="12">
        <v>1</v>
      </c>
      <c r="B2" s="12">
        <v>2</v>
      </c>
      <c r="C2" s="12">
        <v>3</v>
      </c>
      <c r="D2" s="12">
        <v>4</v>
      </c>
      <c r="E2" s="12">
        <v>5</v>
      </c>
      <c r="F2" s="12">
        <v>6</v>
      </c>
      <c r="G2" s="12">
        <v>7</v>
      </c>
      <c r="H2" s="12">
        <v>8</v>
      </c>
    </row>
    <row r="3" spans="1:8" ht="37.5" x14ac:dyDescent="0.2">
      <c r="A3" s="33">
        <v>10000</v>
      </c>
      <c r="B3" s="34" t="s">
        <v>183</v>
      </c>
      <c r="C3" s="350">
        <v>2652150</v>
      </c>
      <c r="D3" s="350">
        <v>2652150</v>
      </c>
      <c r="E3" s="35">
        <v>1845934</v>
      </c>
      <c r="F3" s="35">
        <f ca="1">D133</f>
        <v>1845934.1799999934</v>
      </c>
      <c r="G3" s="35">
        <v>1845934</v>
      </c>
      <c r="H3" s="35">
        <v>1845934</v>
      </c>
    </row>
    <row r="4" spans="1:8" x14ac:dyDescent="0.2">
      <c r="A4" s="80" t="s">
        <v>192</v>
      </c>
      <c r="B4" s="302" t="s">
        <v>184</v>
      </c>
      <c r="D4" s="32"/>
    </row>
    <row r="5" spans="1:8" x14ac:dyDescent="0.2">
      <c r="A5" s="36">
        <v>11000</v>
      </c>
      <c r="B5" s="37" t="s">
        <v>185</v>
      </c>
      <c r="C5" s="38">
        <f>C6+C24+C27+C31+C32+C33</f>
        <v>19622629</v>
      </c>
      <c r="D5" s="258">
        <f>D6+D24+D27+D31+D32+D33</f>
        <v>19151328.189999998</v>
      </c>
      <c r="E5" s="38">
        <f t="shared" ref="E5" si="0">E6+E24+E27+E31+E32+E33</f>
        <v>5618350</v>
      </c>
      <c r="F5" s="38">
        <f t="shared" ref="F5" si="1">F6+F24+F27+F31+F32+F33</f>
        <v>10988705</v>
      </c>
      <c r="G5" s="38">
        <f t="shared" ref="G5:H5" si="2">G6+G24+G27+G31+G32+G33</f>
        <v>16492452</v>
      </c>
      <c r="H5" s="38">
        <f t="shared" si="2"/>
        <v>22350553</v>
      </c>
    </row>
    <row r="6" spans="1:8" x14ac:dyDescent="0.2">
      <c r="A6" s="39">
        <v>11100</v>
      </c>
      <c r="B6" s="40" t="s">
        <v>186</v>
      </c>
      <c r="C6" s="41">
        <f>C7+C12+C15+C18+C23</f>
        <v>17099462</v>
      </c>
      <c r="D6" s="258">
        <f t="shared" ref="D6:F6" si="3">D7+D12+D15+D18+D23</f>
        <v>17057317.009999998</v>
      </c>
      <c r="E6" s="41">
        <f t="shared" si="3"/>
        <v>4946569</v>
      </c>
      <c r="F6" s="41">
        <f t="shared" si="3"/>
        <v>9931401</v>
      </c>
      <c r="G6" s="41">
        <f t="shared" ref="G6:H6" si="4">G7+G12+G15+G18+G23</f>
        <v>14814573</v>
      </c>
      <c r="H6" s="41">
        <f t="shared" si="4"/>
        <v>20160366</v>
      </c>
    </row>
    <row r="7" spans="1:8" s="42" customFormat="1" ht="37.5" x14ac:dyDescent="0.2">
      <c r="A7" s="39">
        <v>11110</v>
      </c>
      <c r="B7" s="40" t="s">
        <v>121</v>
      </c>
      <c r="C7" s="41">
        <f t="shared" ref="C7" si="5">SUM(C8:C11)</f>
        <v>16584772</v>
      </c>
      <c r="D7" s="258">
        <f t="shared" ref="D7" si="6">SUM(D8:D11)</f>
        <v>16439008.459999999</v>
      </c>
      <c r="E7" s="41">
        <f t="shared" ref="E7" si="7">SUM(E8:E11)</f>
        <v>4767317</v>
      </c>
      <c r="F7" s="41">
        <f t="shared" ref="F7" si="8">SUM(F8:F11)</f>
        <v>9583016</v>
      </c>
      <c r="G7" s="41">
        <f t="shared" ref="G7:H7" si="9">SUM(G8:G11)</f>
        <v>14299212</v>
      </c>
      <c r="H7" s="41">
        <f t="shared" si="9"/>
        <v>19451455</v>
      </c>
    </row>
    <row r="8" spans="1:8" x14ac:dyDescent="0.2">
      <c r="A8" s="81">
        <v>11111</v>
      </c>
      <c r="B8" s="3" t="s">
        <v>5</v>
      </c>
      <c r="C8" s="16">
        <v>15217293</v>
      </c>
      <c r="D8" s="20">
        <v>15213629.609999999</v>
      </c>
      <c r="E8" s="16">
        <v>4361263</v>
      </c>
      <c r="F8" s="16">
        <v>8743081</v>
      </c>
      <c r="G8" s="16">
        <v>13047749</v>
      </c>
      <c r="H8" s="16">
        <v>17891543</v>
      </c>
    </row>
    <row r="9" spans="1:8" ht="37.5" x14ac:dyDescent="0.2">
      <c r="A9" s="81">
        <v>11112</v>
      </c>
      <c r="B9" s="3" t="s">
        <v>6</v>
      </c>
      <c r="C9" s="16">
        <v>60635</v>
      </c>
      <c r="D9" s="20">
        <f>40326.56</f>
        <v>40326.559999999998</v>
      </c>
      <c r="E9" s="16">
        <v>16053</v>
      </c>
      <c r="F9" s="16">
        <v>28952</v>
      </c>
      <c r="G9" s="16">
        <v>46942</v>
      </c>
      <c r="H9" s="16">
        <v>62888</v>
      </c>
    </row>
    <row r="10" spans="1:8" x14ac:dyDescent="0.2">
      <c r="A10" s="81">
        <v>11113</v>
      </c>
      <c r="B10" s="3" t="s">
        <v>7</v>
      </c>
      <c r="C10" s="16">
        <v>1281661</v>
      </c>
      <c r="D10" s="20">
        <f>1177887.12</f>
        <v>1177887.1200000001</v>
      </c>
      <c r="E10" s="16">
        <v>381941</v>
      </c>
      <c r="F10" s="16">
        <v>798255</v>
      </c>
      <c r="G10" s="16">
        <v>1183781</v>
      </c>
      <c r="H10" s="16">
        <v>1471146</v>
      </c>
    </row>
    <row r="11" spans="1:8" ht="37.5" x14ac:dyDescent="0.2">
      <c r="A11" s="81">
        <v>11114</v>
      </c>
      <c r="B11" s="3" t="s">
        <v>303</v>
      </c>
      <c r="C11" s="16">
        <v>25183</v>
      </c>
      <c r="D11" s="20">
        <v>7165.17</v>
      </c>
      <c r="E11" s="16">
        <v>8060</v>
      </c>
      <c r="F11" s="16">
        <v>12728</v>
      </c>
      <c r="G11" s="16">
        <v>20740</v>
      </c>
      <c r="H11" s="16">
        <v>25878</v>
      </c>
    </row>
    <row r="12" spans="1:8" s="43" customFormat="1" ht="37.5" hidden="1" x14ac:dyDescent="0.2">
      <c r="A12" s="39">
        <v>11120</v>
      </c>
      <c r="B12" s="2" t="s">
        <v>127</v>
      </c>
      <c r="C12" s="41">
        <f t="shared" ref="C12" si="10">SUM(C13:C14)</f>
        <v>0</v>
      </c>
      <c r="D12" s="258">
        <f t="shared" ref="D12" si="11">SUM(D13:D14)</f>
        <v>0</v>
      </c>
      <c r="E12" s="41">
        <f t="shared" ref="E12" si="12">SUM(E13:E14)</f>
        <v>0</v>
      </c>
      <c r="F12" s="41">
        <f t="shared" ref="F12" si="13">SUM(F13:F14)</f>
        <v>0</v>
      </c>
      <c r="G12" s="41">
        <f t="shared" ref="G12:H12" si="14">SUM(G13:G14)</f>
        <v>0</v>
      </c>
      <c r="H12" s="41">
        <f t="shared" si="14"/>
        <v>0</v>
      </c>
    </row>
    <row r="13" spans="1:8" hidden="1" x14ac:dyDescent="0.2">
      <c r="A13" s="81">
        <v>11121</v>
      </c>
      <c r="B13" s="3" t="s">
        <v>129</v>
      </c>
      <c r="C13" s="16"/>
      <c r="D13" s="20"/>
      <c r="E13" s="16"/>
      <c r="F13" s="16"/>
      <c r="G13" s="16"/>
      <c r="H13" s="16"/>
    </row>
    <row r="14" spans="1:8" hidden="1" x14ac:dyDescent="0.2">
      <c r="A14" s="81">
        <v>11122</v>
      </c>
      <c r="B14" s="3" t="s">
        <v>131</v>
      </c>
      <c r="C14" s="16"/>
      <c r="D14" s="20"/>
      <c r="E14" s="16"/>
      <c r="F14" s="16"/>
      <c r="G14" s="16"/>
      <c r="H14" s="16"/>
    </row>
    <row r="15" spans="1:8" s="43" customFormat="1" ht="37.5" x14ac:dyDescent="0.2">
      <c r="A15" s="39">
        <v>11130</v>
      </c>
      <c r="B15" s="2" t="s">
        <v>133</v>
      </c>
      <c r="C15" s="41">
        <f t="shared" ref="C15" si="15">SUM(C16:C17)</f>
        <v>514690</v>
      </c>
      <c r="D15" s="258">
        <f t="shared" ref="D15" si="16">SUM(D16:D17)</f>
        <v>618308.54999999993</v>
      </c>
      <c r="E15" s="41">
        <f t="shared" ref="E15" si="17">SUM(E16:E17)</f>
        <v>179252</v>
      </c>
      <c r="F15" s="41">
        <f t="shared" ref="F15" si="18">SUM(F16:F17)</f>
        <v>348385</v>
      </c>
      <c r="G15" s="41">
        <f t="shared" ref="G15:H15" si="19">SUM(G16:G17)</f>
        <v>515361</v>
      </c>
      <c r="H15" s="41">
        <f t="shared" si="19"/>
        <v>708911</v>
      </c>
    </row>
    <row r="16" spans="1:8" x14ac:dyDescent="0.2">
      <c r="A16" s="81">
        <v>11131</v>
      </c>
      <c r="B16" s="3" t="s">
        <v>135</v>
      </c>
      <c r="C16" s="16">
        <v>514690</v>
      </c>
      <c r="D16" s="20">
        <f>1575.46+615120.9+1612.19</f>
        <v>618308.54999999993</v>
      </c>
      <c r="E16" s="16">
        <v>179252</v>
      </c>
      <c r="F16" s="16">
        <v>348385</v>
      </c>
      <c r="G16" s="16">
        <v>515361</v>
      </c>
      <c r="H16" s="16">
        <v>708911</v>
      </c>
    </row>
    <row r="17" spans="1:8" ht="37.5" hidden="1" x14ac:dyDescent="0.2">
      <c r="A17" s="81">
        <v>11132</v>
      </c>
      <c r="B17" s="3" t="s">
        <v>11</v>
      </c>
      <c r="C17" s="16"/>
      <c r="D17" s="20"/>
      <c r="E17" s="16"/>
      <c r="F17" s="16"/>
      <c r="G17" s="16"/>
      <c r="H17" s="16"/>
    </row>
    <row r="18" spans="1:8" s="43" customFormat="1" ht="19.5" hidden="1" x14ac:dyDescent="0.2">
      <c r="A18" s="39">
        <v>11140</v>
      </c>
      <c r="B18" s="2" t="s">
        <v>108</v>
      </c>
      <c r="C18" s="41">
        <f t="shared" ref="C18" si="20">SUM(C19:C22)</f>
        <v>0</v>
      </c>
      <c r="D18" s="258">
        <f t="shared" ref="D18" si="21">SUM(D19:D22)</f>
        <v>0</v>
      </c>
      <c r="E18" s="41">
        <f t="shared" ref="E18" si="22">SUM(E19:E22)</f>
        <v>0</v>
      </c>
      <c r="F18" s="41">
        <f t="shared" ref="F18" si="23">SUM(F19:F22)</f>
        <v>0</v>
      </c>
      <c r="G18" s="41">
        <f t="shared" ref="G18:H18" si="24">SUM(G19:G22)</f>
        <v>0</v>
      </c>
      <c r="H18" s="41">
        <f t="shared" si="24"/>
        <v>0</v>
      </c>
    </row>
    <row r="19" spans="1:8" ht="37.5" hidden="1" x14ac:dyDescent="0.2">
      <c r="A19" s="81">
        <v>11141</v>
      </c>
      <c r="B19" s="3" t="s">
        <v>9</v>
      </c>
      <c r="C19" s="16"/>
      <c r="D19" s="20"/>
      <c r="E19" s="16"/>
      <c r="F19" s="16"/>
      <c r="G19" s="16"/>
      <c r="H19" s="16"/>
    </row>
    <row r="20" spans="1:8" ht="37.5" hidden="1" x14ac:dyDescent="0.2">
      <c r="A20" s="81">
        <v>11142</v>
      </c>
      <c r="B20" s="3" t="s">
        <v>470</v>
      </c>
      <c r="C20" s="16"/>
      <c r="D20" s="20"/>
      <c r="E20" s="16"/>
      <c r="F20" s="16"/>
      <c r="G20" s="16"/>
      <c r="H20" s="16"/>
    </row>
    <row r="21" spans="1:8" ht="56.25" hidden="1" x14ac:dyDescent="0.2">
      <c r="A21" s="81">
        <v>11143</v>
      </c>
      <c r="B21" s="3" t="s">
        <v>12</v>
      </c>
      <c r="C21" s="16"/>
      <c r="D21" s="20"/>
      <c r="E21" s="16"/>
      <c r="F21" s="16"/>
      <c r="G21" s="16"/>
      <c r="H21" s="16"/>
    </row>
    <row r="22" spans="1:8" hidden="1" x14ac:dyDescent="0.2">
      <c r="A22" s="81">
        <v>11144</v>
      </c>
      <c r="B22" s="3" t="s">
        <v>13</v>
      </c>
      <c r="C22" s="16"/>
      <c r="D22" s="20"/>
      <c r="E22" s="16"/>
      <c r="F22" s="16"/>
      <c r="G22" s="16"/>
      <c r="H22" s="16"/>
    </row>
    <row r="23" spans="1:8" ht="37.5" hidden="1" x14ac:dyDescent="0.2">
      <c r="A23" s="39">
        <v>11150</v>
      </c>
      <c r="B23" s="2" t="s">
        <v>415</v>
      </c>
      <c r="C23" s="19"/>
      <c r="D23" s="351"/>
      <c r="E23" s="19"/>
      <c r="F23" s="19"/>
      <c r="G23" s="19"/>
      <c r="H23" s="19"/>
    </row>
    <row r="24" spans="1:8" hidden="1" x14ac:dyDescent="0.2">
      <c r="A24" s="39">
        <v>11200</v>
      </c>
      <c r="B24" s="2" t="s">
        <v>14</v>
      </c>
      <c r="C24" s="10">
        <f t="shared" ref="C24" si="25">C25+C26</f>
        <v>0</v>
      </c>
      <c r="D24" s="350">
        <f>D25+D26</f>
        <v>0</v>
      </c>
      <c r="E24" s="10">
        <f t="shared" ref="E24" si="26">E25+E26</f>
        <v>0</v>
      </c>
      <c r="F24" s="10">
        <f t="shared" ref="F24" si="27">F25+F26</f>
        <v>0</v>
      </c>
      <c r="G24" s="10">
        <f t="shared" ref="G24:H24" si="28">G25+G26</f>
        <v>0</v>
      </c>
      <c r="H24" s="10">
        <f t="shared" si="28"/>
        <v>0</v>
      </c>
    </row>
    <row r="25" spans="1:8" hidden="1" x14ac:dyDescent="0.2">
      <c r="A25" s="64">
        <v>11210</v>
      </c>
      <c r="B25" s="27" t="s">
        <v>417</v>
      </c>
      <c r="C25" s="18"/>
      <c r="D25" s="234"/>
      <c r="E25" s="18"/>
      <c r="F25" s="18"/>
      <c r="G25" s="18"/>
      <c r="H25" s="18"/>
    </row>
    <row r="26" spans="1:8" hidden="1" x14ac:dyDescent="0.2">
      <c r="A26" s="64">
        <v>11220</v>
      </c>
      <c r="B26" s="27" t="s">
        <v>418</v>
      </c>
      <c r="C26" s="18"/>
      <c r="D26" s="234"/>
      <c r="E26" s="18"/>
      <c r="F26" s="18"/>
      <c r="G26" s="18"/>
      <c r="H26" s="18"/>
    </row>
    <row r="27" spans="1:8" x14ac:dyDescent="0.2">
      <c r="A27" s="39">
        <v>11300</v>
      </c>
      <c r="B27" s="9" t="s">
        <v>187</v>
      </c>
      <c r="C27" s="10">
        <f t="shared" ref="C27" si="29">SUM(C28:C30)</f>
        <v>1693435</v>
      </c>
      <c r="D27" s="350">
        <f>SUM(D28:D30)</f>
        <v>1304785.3500000001</v>
      </c>
      <c r="E27" s="10">
        <f t="shared" ref="E27" si="30">SUM(E28:E30)</f>
        <v>454730</v>
      </c>
      <c r="F27" s="10">
        <f t="shared" ref="F27" si="31">SUM(F28:F30)</f>
        <v>665205</v>
      </c>
      <c r="G27" s="10">
        <f t="shared" ref="G27:H27" si="32">SUM(G28:G30)</f>
        <v>1067503</v>
      </c>
      <c r="H27" s="10">
        <f t="shared" si="32"/>
        <v>1402227</v>
      </c>
    </row>
    <row r="28" spans="1:8" x14ac:dyDescent="0.2">
      <c r="A28" s="81">
        <v>11310</v>
      </c>
      <c r="B28" s="3" t="s">
        <v>145</v>
      </c>
      <c r="C28" s="16">
        <v>1158240</v>
      </c>
      <c r="D28" s="20">
        <f>1037140.56+1.65</f>
        <v>1037142.2100000001</v>
      </c>
      <c r="E28" s="16">
        <v>387037</v>
      </c>
      <c r="F28" s="16">
        <v>547515</v>
      </c>
      <c r="G28" s="16">
        <v>893175</v>
      </c>
      <c r="H28" s="16">
        <v>1170782</v>
      </c>
    </row>
    <row r="29" spans="1:8" x14ac:dyDescent="0.2">
      <c r="A29" s="81">
        <v>11320</v>
      </c>
      <c r="B29" s="3" t="s">
        <v>146</v>
      </c>
      <c r="C29" s="16"/>
      <c r="D29" s="20"/>
      <c r="E29" s="16"/>
      <c r="F29" s="16"/>
      <c r="G29" s="16"/>
      <c r="H29" s="16"/>
    </row>
    <row r="30" spans="1:8" ht="18.75" customHeight="1" x14ac:dyDescent="0.2">
      <c r="A30" s="81">
        <v>11330</v>
      </c>
      <c r="B30" s="3" t="s">
        <v>16</v>
      </c>
      <c r="C30" s="16">
        <f>236315+272417+26463</f>
        <v>535195</v>
      </c>
      <c r="D30" s="20">
        <f>8.26+208.32+229838.91+36998.39+20.29+7.01+561.96</f>
        <v>267643.14</v>
      </c>
      <c r="E30" s="16">
        <v>67693</v>
      </c>
      <c r="F30" s="16">
        <v>117690</v>
      </c>
      <c r="G30" s="16">
        <v>174328</v>
      </c>
      <c r="H30" s="16">
        <v>231445</v>
      </c>
    </row>
    <row r="31" spans="1:8" ht="37.5" x14ac:dyDescent="0.2">
      <c r="A31" s="64">
        <v>11400</v>
      </c>
      <c r="B31" s="74" t="s">
        <v>17</v>
      </c>
      <c r="C31" s="17">
        <v>355133</v>
      </c>
      <c r="D31" s="352">
        <f>347259.86</f>
        <v>347259.86</v>
      </c>
      <c r="E31" s="17">
        <v>93269</v>
      </c>
      <c r="F31" s="17">
        <v>166047</v>
      </c>
      <c r="G31" s="17">
        <v>250787</v>
      </c>
      <c r="H31" s="17">
        <v>325025</v>
      </c>
    </row>
    <row r="32" spans="1:8" ht="37.5" x14ac:dyDescent="0.2">
      <c r="A32" s="64">
        <v>11500</v>
      </c>
      <c r="B32" s="74" t="s">
        <v>302</v>
      </c>
      <c r="C32" s="17">
        <v>317022</v>
      </c>
      <c r="D32" s="352">
        <f>303062.97</f>
        <v>303062.96999999997</v>
      </c>
      <c r="E32" s="17">
        <v>80772</v>
      </c>
      <c r="F32" s="17">
        <v>146834</v>
      </c>
      <c r="G32" s="17">
        <v>238445</v>
      </c>
      <c r="H32" s="17">
        <v>307370</v>
      </c>
    </row>
    <row r="33" spans="1:8" ht="19.5" customHeight="1" x14ac:dyDescent="0.2">
      <c r="A33" s="64">
        <v>11600</v>
      </c>
      <c r="B33" s="5" t="s">
        <v>20</v>
      </c>
      <c r="C33" s="17">
        <v>157577</v>
      </c>
      <c r="D33" s="352">
        <f>138903</f>
        <v>138903</v>
      </c>
      <c r="E33" s="17">
        <v>43010</v>
      </c>
      <c r="F33" s="17">
        <v>79218</v>
      </c>
      <c r="G33" s="17">
        <v>121144</v>
      </c>
      <c r="H33" s="17">
        <v>155565</v>
      </c>
    </row>
    <row r="34" spans="1:8" x14ac:dyDescent="0.2">
      <c r="A34" s="36">
        <v>12000</v>
      </c>
      <c r="B34" s="37" t="s">
        <v>188</v>
      </c>
      <c r="C34" s="44">
        <f t="shared" ref="C34:F34" si="33">C35+C42</f>
        <v>18540848</v>
      </c>
      <c r="D34" s="350">
        <f t="shared" si="33"/>
        <v>18604906.730000004</v>
      </c>
      <c r="E34" s="44">
        <f t="shared" si="33"/>
        <v>5135381</v>
      </c>
      <c r="F34" s="44">
        <f t="shared" si="33"/>
        <v>10092685</v>
      </c>
      <c r="G34" s="44">
        <f t="shared" ref="G34:H34" si="34">G35+G42</f>
        <v>15403134</v>
      </c>
      <c r="H34" s="44">
        <f t="shared" si="34"/>
        <v>21306998</v>
      </c>
    </row>
    <row r="35" spans="1:8" x14ac:dyDescent="0.2">
      <c r="A35" s="39">
        <v>12100</v>
      </c>
      <c r="B35" s="40" t="s">
        <v>189</v>
      </c>
      <c r="C35" s="10">
        <f t="shared" ref="C35" si="35">C36+C37+C38+C39+C40+C41</f>
        <v>17671093</v>
      </c>
      <c r="D35" s="350">
        <f>D36+D37+D38+D39+D40+D41</f>
        <v>17309637.660000004</v>
      </c>
      <c r="E35" s="10">
        <f t="shared" ref="E35" si="36">E36+E37+E38+E39+E40+E41</f>
        <v>4886071</v>
      </c>
      <c r="F35" s="10">
        <f t="shared" ref="F35" si="37">F36+F37+F38+F39+F40+F41</f>
        <v>9655216</v>
      </c>
      <c r="G35" s="10">
        <f t="shared" ref="G35:H35" si="38">G36+G37+G38+G39+G40+G41</f>
        <v>14743412</v>
      </c>
      <c r="H35" s="10">
        <f t="shared" si="38"/>
        <v>20432901</v>
      </c>
    </row>
    <row r="36" spans="1:8" x14ac:dyDescent="0.2">
      <c r="A36" s="81">
        <v>12110</v>
      </c>
      <c r="B36" s="54" t="s">
        <v>304</v>
      </c>
      <c r="C36" s="16">
        <v>8507297</v>
      </c>
      <c r="D36" s="20">
        <v>9254843.9600000009</v>
      </c>
      <c r="E36" s="16">
        <v>2501797</v>
      </c>
      <c r="F36" s="16">
        <v>5179359</v>
      </c>
      <c r="G36" s="16">
        <v>7850839</v>
      </c>
      <c r="H36" s="16">
        <v>11132060</v>
      </c>
    </row>
    <row r="37" spans="1:8" ht="75" x14ac:dyDescent="0.2">
      <c r="A37" s="81">
        <v>12120</v>
      </c>
      <c r="B37" s="54" t="s">
        <v>305</v>
      </c>
      <c r="C37" s="16">
        <v>2120952</v>
      </c>
      <c r="D37" s="20">
        <v>2130471.46</v>
      </c>
      <c r="E37" s="16">
        <v>639220</v>
      </c>
      <c r="F37" s="16">
        <v>1308525</v>
      </c>
      <c r="G37" s="16">
        <v>1989893</v>
      </c>
      <c r="H37" s="16">
        <v>2807524</v>
      </c>
    </row>
    <row r="38" spans="1:8" ht="37.5" x14ac:dyDescent="0.2">
      <c r="A38" s="81">
        <v>12130</v>
      </c>
      <c r="B38" s="54" t="s">
        <v>306</v>
      </c>
      <c r="C38" s="16">
        <v>7750</v>
      </c>
      <c r="D38" s="20">
        <v>703.99</v>
      </c>
      <c r="E38" s="16">
        <v>150</v>
      </c>
      <c r="F38" s="16">
        <v>150</v>
      </c>
      <c r="G38" s="16">
        <v>150</v>
      </c>
      <c r="H38" s="16">
        <v>495</v>
      </c>
    </row>
    <row r="39" spans="1:8" x14ac:dyDescent="0.2">
      <c r="A39" s="81">
        <v>12140</v>
      </c>
      <c r="B39" s="54" t="s">
        <v>307</v>
      </c>
      <c r="C39" s="16">
        <f>1533838+345681</f>
        <v>1879519</v>
      </c>
      <c r="D39" s="20">
        <f>1330215.11+5384.67+2358.78-60</f>
        <v>1337898.56</v>
      </c>
      <c r="E39" s="16">
        <v>418901</v>
      </c>
      <c r="F39" s="16">
        <v>814403</v>
      </c>
      <c r="G39" s="16">
        <v>1211045</v>
      </c>
      <c r="H39" s="16">
        <v>1679775</v>
      </c>
    </row>
    <row r="40" spans="1:8" ht="55.5" customHeight="1" x14ac:dyDescent="0.2">
      <c r="A40" s="81">
        <v>12150</v>
      </c>
      <c r="B40" s="54" t="s">
        <v>308</v>
      </c>
      <c r="C40" s="16">
        <f>5155575-4892574</f>
        <v>263001</v>
      </c>
      <c r="D40" s="20">
        <f>4585719.42-4270349</f>
        <v>315370.41999999993</v>
      </c>
      <c r="E40" s="16">
        <f>1359354-1251366</f>
        <v>107988</v>
      </c>
      <c r="F40" s="16">
        <f>2415334-2217798</f>
        <v>197536</v>
      </c>
      <c r="G40" s="16">
        <f>3790915-3492657</f>
        <v>298258</v>
      </c>
      <c r="H40" s="16">
        <f>4950087-4559415</f>
        <v>390672</v>
      </c>
    </row>
    <row r="41" spans="1:8" ht="75" x14ac:dyDescent="0.2">
      <c r="A41" s="81">
        <v>12160</v>
      </c>
      <c r="B41" s="54" t="s">
        <v>309</v>
      </c>
      <c r="C41" s="16">
        <v>4892574</v>
      </c>
      <c r="D41" s="20">
        <v>4270349.2699999996</v>
      </c>
      <c r="E41" s="16">
        <f>1251366-33351</f>
        <v>1218015</v>
      </c>
      <c r="F41" s="16">
        <f>2217798-62555</f>
        <v>2155243</v>
      </c>
      <c r="G41" s="16">
        <f>3492657-99430</f>
        <v>3393227</v>
      </c>
      <c r="H41" s="16">
        <f>4559415-137040</f>
        <v>4422375</v>
      </c>
    </row>
    <row r="42" spans="1:8" ht="37.5" x14ac:dyDescent="0.2">
      <c r="A42" s="39">
        <v>12200</v>
      </c>
      <c r="B42" s="40" t="s">
        <v>190</v>
      </c>
      <c r="C42" s="10">
        <f t="shared" ref="C42:F42" si="39">C43+C44</f>
        <v>869755</v>
      </c>
      <c r="D42" s="350">
        <f t="shared" si="39"/>
        <v>1295269.07</v>
      </c>
      <c r="E42" s="10">
        <f t="shared" si="39"/>
        <v>249310</v>
      </c>
      <c r="F42" s="10">
        <f t="shared" si="39"/>
        <v>437469</v>
      </c>
      <c r="G42" s="10">
        <f t="shared" ref="G42:H42" si="40">G43+G44</f>
        <v>659722</v>
      </c>
      <c r="H42" s="10">
        <f t="shared" si="40"/>
        <v>874097</v>
      </c>
    </row>
    <row r="43" spans="1:8" ht="18" customHeight="1" x14ac:dyDescent="0.2">
      <c r="A43" s="81">
        <v>12210</v>
      </c>
      <c r="B43" s="54" t="s">
        <v>310</v>
      </c>
      <c r="C43" s="16"/>
      <c r="D43" s="20"/>
      <c r="E43" s="16"/>
      <c r="F43" s="16"/>
      <c r="G43" s="16"/>
      <c r="H43" s="16"/>
    </row>
    <row r="44" spans="1:8" x14ac:dyDescent="0.2">
      <c r="A44" s="81">
        <v>12220</v>
      </c>
      <c r="B44" s="54" t="s">
        <v>311</v>
      </c>
      <c r="C44" s="16">
        <v>869755</v>
      </c>
      <c r="D44" s="20">
        <f>1295269.07</f>
        <v>1295269.07</v>
      </c>
      <c r="E44" s="16">
        <v>249310</v>
      </c>
      <c r="F44" s="16">
        <v>437469</v>
      </c>
      <c r="G44" s="16">
        <v>659722</v>
      </c>
      <c r="H44" s="16">
        <v>874097</v>
      </c>
    </row>
    <row r="45" spans="1:8" ht="37.5" x14ac:dyDescent="0.2">
      <c r="A45" s="36">
        <v>13000</v>
      </c>
      <c r="B45" s="45" t="s">
        <v>191</v>
      </c>
      <c r="C45" s="44">
        <f t="shared" ref="C45:F45" si="41">C5-C34</f>
        <v>1081781</v>
      </c>
      <c r="D45" s="353">
        <f t="shared" si="41"/>
        <v>546421.45999999344</v>
      </c>
      <c r="E45" s="44">
        <f t="shared" si="41"/>
        <v>482969</v>
      </c>
      <c r="F45" s="44">
        <f t="shared" si="41"/>
        <v>896020</v>
      </c>
      <c r="G45" s="44">
        <f t="shared" ref="G45:H45" si="42">G5-G34</f>
        <v>1089318</v>
      </c>
      <c r="H45" s="44">
        <f t="shared" si="42"/>
        <v>1043555</v>
      </c>
    </row>
    <row r="46" spans="1:8" x14ac:dyDescent="0.2">
      <c r="A46" s="80" t="s">
        <v>197</v>
      </c>
      <c r="B46" s="302" t="s">
        <v>193</v>
      </c>
      <c r="D46" s="32"/>
    </row>
    <row r="47" spans="1:8" x14ac:dyDescent="0.2">
      <c r="A47" s="46">
        <v>14000</v>
      </c>
      <c r="B47" s="47" t="s">
        <v>318</v>
      </c>
      <c r="C47" s="48">
        <f t="shared" ref="C47:F47" si="43">C48+C49+C50+C51+C52</f>
        <v>0</v>
      </c>
      <c r="D47" s="354">
        <f t="shared" si="43"/>
        <v>0</v>
      </c>
      <c r="E47" s="48">
        <f t="shared" si="43"/>
        <v>0</v>
      </c>
      <c r="F47" s="48">
        <f t="shared" si="43"/>
        <v>0</v>
      </c>
      <c r="G47" s="48">
        <f t="shared" ref="G47:H47" si="44">G48+G49+G50+G51+G52</f>
        <v>0</v>
      </c>
      <c r="H47" s="48">
        <f t="shared" si="44"/>
        <v>0</v>
      </c>
    </row>
    <row r="48" spans="1:8" ht="56.25" hidden="1" x14ac:dyDescent="0.2">
      <c r="A48" s="56">
        <v>14100</v>
      </c>
      <c r="B48" s="57" t="s">
        <v>314</v>
      </c>
      <c r="C48" s="83"/>
      <c r="D48" s="355"/>
      <c r="E48" s="83"/>
      <c r="F48" s="83"/>
      <c r="G48" s="83"/>
      <c r="H48" s="83"/>
    </row>
    <row r="49" spans="1:8" ht="37.5" hidden="1" customHeight="1" x14ac:dyDescent="0.2">
      <c r="A49" s="56">
        <v>14200</v>
      </c>
      <c r="B49" s="57" t="s">
        <v>194</v>
      </c>
      <c r="C49" s="83"/>
      <c r="D49" s="355"/>
      <c r="E49" s="83"/>
      <c r="F49" s="83"/>
      <c r="G49" s="83"/>
      <c r="H49" s="83"/>
    </row>
    <row r="50" spans="1:8" hidden="1" x14ac:dyDescent="0.2">
      <c r="A50" s="56">
        <v>14300</v>
      </c>
      <c r="B50" s="74" t="s">
        <v>196</v>
      </c>
      <c r="C50" s="83"/>
      <c r="D50" s="355"/>
      <c r="E50" s="83"/>
      <c r="F50" s="83"/>
      <c r="G50" s="83"/>
      <c r="H50" s="83"/>
    </row>
    <row r="51" spans="1:8" hidden="1" x14ac:dyDescent="0.2">
      <c r="A51" s="56">
        <v>14400</v>
      </c>
      <c r="B51" s="74" t="s">
        <v>319</v>
      </c>
      <c r="C51" s="83"/>
      <c r="D51" s="355"/>
      <c r="E51" s="83"/>
      <c r="F51" s="83"/>
      <c r="G51" s="83"/>
      <c r="H51" s="83"/>
    </row>
    <row r="52" spans="1:8" hidden="1" x14ac:dyDescent="0.2">
      <c r="A52" s="56">
        <v>14500</v>
      </c>
      <c r="B52" s="74" t="s">
        <v>320</v>
      </c>
      <c r="C52" s="83"/>
      <c r="D52" s="355"/>
      <c r="E52" s="83"/>
      <c r="F52" s="83"/>
      <c r="G52" s="83"/>
      <c r="H52" s="83"/>
    </row>
    <row r="53" spans="1:8" x14ac:dyDescent="0.2">
      <c r="A53" s="46">
        <v>15000</v>
      </c>
      <c r="B53" s="49" t="s">
        <v>321</v>
      </c>
      <c r="C53" s="48">
        <f t="shared" ref="C53:F53" ca="1" si="45">C54+C55+C104</f>
        <v>788931</v>
      </c>
      <c r="D53" s="354">
        <f t="shared" ca="1" si="45"/>
        <v>1784741.1</v>
      </c>
      <c r="E53" s="48">
        <f t="shared" ca="1" si="45"/>
        <v>306298</v>
      </c>
      <c r="F53" s="48">
        <f t="shared" ca="1" si="45"/>
        <v>773799</v>
      </c>
      <c r="G53" s="48">
        <f t="shared" ref="G53:H53" ca="1" si="46">G54+G55+G104</f>
        <v>835036</v>
      </c>
      <c r="H53" s="48">
        <f t="shared" ca="1" si="46"/>
        <v>898524</v>
      </c>
    </row>
    <row r="54" spans="1:8" ht="56.25" hidden="1" x14ac:dyDescent="0.2">
      <c r="A54" s="56">
        <v>15100</v>
      </c>
      <c r="B54" s="57" t="s">
        <v>313</v>
      </c>
      <c r="C54" s="83"/>
      <c r="D54" s="355"/>
      <c r="E54" s="83"/>
      <c r="F54" s="83"/>
      <c r="G54" s="83"/>
      <c r="H54" s="83"/>
    </row>
    <row r="55" spans="1:8" ht="40.5" x14ac:dyDescent="0.2">
      <c r="A55" s="56">
        <v>15200</v>
      </c>
      <c r="B55" s="57" t="s">
        <v>585</v>
      </c>
      <c r="C55" s="108">
        <f t="shared" ref="C55:D55" ca="1" si="47">C56+C72+C88</f>
        <v>788931</v>
      </c>
      <c r="D55" s="356">
        <f t="shared" ca="1" si="47"/>
        <v>1784741.1</v>
      </c>
      <c r="E55" s="108">
        <f ca="1">E56+E72+E88</f>
        <v>306298</v>
      </c>
      <c r="F55" s="108">
        <f ca="1">F56+F72+F88</f>
        <v>773799</v>
      </c>
      <c r="G55" s="108">
        <f ca="1">G56+G72+G88</f>
        <v>835036</v>
      </c>
      <c r="H55" s="108">
        <f ca="1">H56+H72+H88</f>
        <v>898524</v>
      </c>
    </row>
    <row r="56" spans="1:8" s="52" customFormat="1" hidden="1" x14ac:dyDescent="0.2">
      <c r="A56" s="50">
        <v>15210</v>
      </c>
      <c r="B56" s="28" t="s">
        <v>317</v>
      </c>
      <c r="C56" s="51">
        <f t="shared" ref="C56:F56" ca="1" si="48">C57+C60+C63+C66+C69</f>
        <v>0</v>
      </c>
      <c r="D56" s="357">
        <f t="shared" ca="1" si="48"/>
        <v>0</v>
      </c>
      <c r="E56" s="51">
        <f t="shared" ca="1" si="48"/>
        <v>0</v>
      </c>
      <c r="F56" s="51">
        <f t="shared" ca="1" si="48"/>
        <v>0</v>
      </c>
      <c r="G56" s="51">
        <f t="shared" ref="G56:H56" ca="1" si="49">G57+G60+G63+G66+G69</f>
        <v>0</v>
      </c>
      <c r="H56" s="51">
        <f t="shared" ca="1" si="49"/>
        <v>0</v>
      </c>
    </row>
    <row r="57" spans="1:8" ht="56.25" hidden="1" x14ac:dyDescent="0.2">
      <c r="A57" s="53">
        <v>15211</v>
      </c>
      <c r="B57" s="54" t="s">
        <v>575</v>
      </c>
      <c r="C57" s="55">
        <f ca="1">SUM(OFFSET(C60,-1,0):OFFSET(C57,1,0))</f>
        <v>0</v>
      </c>
      <c r="D57" s="358">
        <f ca="1">SUM(OFFSET(D60,-1,0):OFFSET(D57,1,0))</f>
        <v>0</v>
      </c>
      <c r="E57" s="55">
        <f ca="1">SUM(OFFSET(E60,-1,0):OFFSET(E57,1,0))</f>
        <v>0</v>
      </c>
      <c r="F57" s="55">
        <f ca="1">SUM(OFFSET(F60,-1,0):OFFSET(F57,1,0))</f>
        <v>0</v>
      </c>
      <c r="G57" s="55">
        <f ca="1">SUM(OFFSET(G60,-1,0):OFFSET(G57,1,0))</f>
        <v>0</v>
      </c>
      <c r="H57" s="55">
        <f ca="1">SUM(OFFSET(H60,-1,0):OFFSET(H57,1,0))</f>
        <v>0</v>
      </c>
    </row>
    <row r="58" spans="1:8" s="107" customFormat="1" hidden="1" x14ac:dyDescent="0.2">
      <c r="A58" s="86"/>
      <c r="B58" s="85"/>
      <c r="C58" s="84"/>
      <c r="D58" s="233"/>
      <c r="E58" s="84"/>
      <c r="F58" s="84"/>
      <c r="G58" s="84"/>
      <c r="H58" s="84"/>
    </row>
    <row r="59" spans="1:8" s="107" customFormat="1" hidden="1" x14ac:dyDescent="0.2">
      <c r="A59" s="86"/>
      <c r="B59" s="85"/>
      <c r="C59" s="84"/>
      <c r="D59" s="233"/>
      <c r="E59" s="84"/>
      <c r="F59" s="84"/>
      <c r="G59" s="84"/>
      <c r="H59" s="84"/>
    </row>
    <row r="60" spans="1:8" ht="56.25" hidden="1" x14ac:dyDescent="0.2">
      <c r="A60" s="53">
        <v>15212</v>
      </c>
      <c r="B60" s="54" t="s">
        <v>576</v>
      </c>
      <c r="C60" s="55">
        <f ca="1">SUM(OFFSET(C63,-1,0):OFFSET(C60,1,0))</f>
        <v>0</v>
      </c>
      <c r="D60" s="358">
        <f ca="1">SUM(OFFSET(D63,-1,0):OFFSET(D60,1,0))</f>
        <v>0</v>
      </c>
      <c r="E60" s="55">
        <f ca="1">SUM(OFFSET(E63,-1,0):OFFSET(E60,1,0))</f>
        <v>0</v>
      </c>
      <c r="F60" s="55">
        <f ca="1">SUM(OFFSET(F63,-1,0):OFFSET(F60,1,0))</f>
        <v>0</v>
      </c>
      <c r="G60" s="55">
        <f ca="1">SUM(OFFSET(G63,-1,0):OFFSET(G60,1,0))</f>
        <v>0</v>
      </c>
      <c r="H60" s="55">
        <f ca="1">SUM(OFFSET(H63,-1,0):OFFSET(H60,1,0))</f>
        <v>0</v>
      </c>
    </row>
    <row r="61" spans="1:8" s="107" customFormat="1" hidden="1" x14ac:dyDescent="0.2">
      <c r="A61" s="86"/>
      <c r="B61" s="85"/>
      <c r="C61" s="84"/>
      <c r="D61" s="233"/>
      <c r="E61" s="84"/>
      <c r="F61" s="84"/>
      <c r="G61" s="84"/>
      <c r="H61" s="84"/>
    </row>
    <row r="62" spans="1:8" s="107" customFormat="1" hidden="1" x14ac:dyDescent="0.2">
      <c r="A62" s="86"/>
      <c r="B62" s="85"/>
      <c r="C62" s="84"/>
      <c r="D62" s="233"/>
      <c r="E62" s="84"/>
      <c r="F62" s="84"/>
      <c r="G62" s="84"/>
      <c r="H62" s="84"/>
    </row>
    <row r="63" spans="1:8" ht="39.75" hidden="1" customHeight="1" x14ac:dyDescent="0.2">
      <c r="A63" s="53">
        <v>15213</v>
      </c>
      <c r="B63" s="54" t="s">
        <v>577</v>
      </c>
      <c r="C63" s="55">
        <f ca="1">SUM(OFFSET(C66,-1,0):OFFSET(C63,1,0))</f>
        <v>0</v>
      </c>
      <c r="D63" s="358">
        <f ca="1">SUM(OFFSET(D66,-1,0):OFFSET(D63,1,0))</f>
        <v>0</v>
      </c>
      <c r="E63" s="55">
        <f ca="1">SUM(OFFSET(E66,-1,0):OFFSET(E63,1,0))</f>
        <v>0</v>
      </c>
      <c r="F63" s="55">
        <f ca="1">SUM(OFFSET(F66,-1,0):OFFSET(F63,1,0))</f>
        <v>0</v>
      </c>
      <c r="G63" s="55">
        <f ca="1">SUM(OFFSET(G66,-1,0):OFFSET(G63,1,0))</f>
        <v>0</v>
      </c>
      <c r="H63" s="55">
        <f ca="1">SUM(OFFSET(H66,-1,0):OFFSET(H63,1,0))</f>
        <v>0</v>
      </c>
    </row>
    <row r="64" spans="1:8" s="107" customFormat="1" ht="39.75" hidden="1" customHeight="1" x14ac:dyDescent="0.2">
      <c r="A64" s="86"/>
      <c r="B64" s="85"/>
      <c r="C64" s="84"/>
      <c r="D64" s="84"/>
      <c r="E64" s="84"/>
      <c r="F64" s="84"/>
      <c r="G64" s="84"/>
      <c r="H64" s="84"/>
    </row>
    <row r="65" spans="1:8" s="107" customFormat="1" ht="39.75" hidden="1" customHeight="1" x14ac:dyDescent="0.2">
      <c r="A65" s="86"/>
      <c r="B65" s="85"/>
      <c r="C65" s="84"/>
      <c r="D65" s="233"/>
      <c r="E65" s="84"/>
      <c r="F65" s="84"/>
      <c r="G65" s="84"/>
      <c r="H65" s="84"/>
    </row>
    <row r="66" spans="1:8" ht="37.5" hidden="1" x14ac:dyDescent="0.2">
      <c r="A66" s="53">
        <v>15214</v>
      </c>
      <c r="B66" s="54" t="s">
        <v>578</v>
      </c>
      <c r="C66" s="55">
        <f ca="1">SUM(OFFSET(C69,-1,0):OFFSET(C66,1,0))</f>
        <v>0</v>
      </c>
      <c r="D66" s="358">
        <f ca="1">SUM(OFFSET(D69,-1,0):OFFSET(D66,1,0))</f>
        <v>0</v>
      </c>
      <c r="E66" s="55">
        <f ca="1">SUM(OFFSET(E69,-1,0):OFFSET(E66,1,0))</f>
        <v>0</v>
      </c>
      <c r="F66" s="55">
        <f ca="1">SUM(OFFSET(F69,-1,0):OFFSET(F66,1,0))</f>
        <v>0</v>
      </c>
      <c r="G66" s="55">
        <f ca="1">SUM(OFFSET(G69,-1,0):OFFSET(G66,1,0))</f>
        <v>0</v>
      </c>
      <c r="H66" s="55">
        <f ca="1">SUM(OFFSET(H69,-1,0):OFFSET(H66,1,0))</f>
        <v>0</v>
      </c>
    </row>
    <row r="67" spans="1:8" s="107" customFormat="1" hidden="1" x14ac:dyDescent="0.2">
      <c r="A67" s="86"/>
      <c r="B67" s="85"/>
      <c r="C67" s="84"/>
      <c r="D67" s="233"/>
      <c r="E67" s="84"/>
      <c r="F67" s="84"/>
      <c r="G67" s="84"/>
      <c r="H67" s="84"/>
    </row>
    <row r="68" spans="1:8" s="107" customFormat="1" hidden="1" x14ac:dyDescent="0.2">
      <c r="A68" s="86"/>
      <c r="B68" s="85"/>
      <c r="C68" s="84"/>
      <c r="D68" s="233"/>
      <c r="E68" s="84"/>
      <c r="F68" s="84"/>
      <c r="G68" s="84"/>
      <c r="H68" s="84"/>
    </row>
    <row r="69" spans="1:8" ht="37.5" hidden="1" x14ac:dyDescent="0.2">
      <c r="A69" s="53">
        <v>15215</v>
      </c>
      <c r="B69" s="54" t="s">
        <v>579</v>
      </c>
      <c r="C69" s="55">
        <f ca="1">SUM(OFFSET(C72,-1,0):OFFSET(C69,1,0))</f>
        <v>0</v>
      </c>
      <c r="D69" s="358">
        <f ca="1">SUM(OFFSET(D72,-1,0):OFFSET(D69,1,0))</f>
        <v>0</v>
      </c>
      <c r="E69" s="55">
        <f ca="1">SUM(OFFSET(E72,-1,0):OFFSET(E69,1,0))</f>
        <v>0</v>
      </c>
      <c r="F69" s="55">
        <f ca="1">SUM(OFFSET(F72,-1,0):OFFSET(F69,1,0))</f>
        <v>0</v>
      </c>
      <c r="G69" s="55">
        <f ca="1">SUM(OFFSET(G72,-1,0):OFFSET(G69,1,0))</f>
        <v>0</v>
      </c>
      <c r="H69" s="55">
        <f ca="1">SUM(OFFSET(H72,-1,0):OFFSET(H69,1,0))</f>
        <v>0</v>
      </c>
    </row>
    <row r="70" spans="1:8" s="107" customFormat="1" hidden="1" x14ac:dyDescent="0.2">
      <c r="A70" s="86"/>
      <c r="B70" s="85"/>
      <c r="C70" s="84"/>
      <c r="D70" s="233"/>
      <c r="E70" s="84"/>
      <c r="F70" s="84"/>
      <c r="G70" s="84"/>
      <c r="H70" s="84"/>
    </row>
    <row r="71" spans="1:8" s="107" customFormat="1" hidden="1" x14ac:dyDescent="0.2">
      <c r="A71" s="86"/>
      <c r="B71" s="85"/>
      <c r="C71" s="84">
        <v>0</v>
      </c>
      <c r="D71" s="233">
        <v>0</v>
      </c>
      <c r="E71" s="84">
        <v>0</v>
      </c>
      <c r="F71" s="84">
        <v>0</v>
      </c>
      <c r="G71" s="84">
        <v>0</v>
      </c>
      <c r="H71" s="84">
        <v>0</v>
      </c>
    </row>
    <row r="72" spans="1:8" x14ac:dyDescent="0.2">
      <c r="A72" s="50">
        <v>15220</v>
      </c>
      <c r="B72" s="28" t="s">
        <v>315</v>
      </c>
      <c r="C72" s="51">
        <f t="shared" ref="C72:F72" ca="1" si="50">C73+C76+C79+C82+C85</f>
        <v>788931</v>
      </c>
      <c r="D72" s="357">
        <f t="shared" ca="1" si="50"/>
        <v>1784741.1</v>
      </c>
      <c r="E72" s="51">
        <f t="shared" ca="1" si="50"/>
        <v>306298</v>
      </c>
      <c r="F72" s="51">
        <f t="shared" ca="1" si="50"/>
        <v>773799</v>
      </c>
      <c r="G72" s="51">
        <f t="shared" ref="G72:H72" ca="1" si="51">G73+G76+G79+G82+G85</f>
        <v>835036</v>
      </c>
      <c r="H72" s="51">
        <f t="shared" ca="1" si="51"/>
        <v>898524</v>
      </c>
    </row>
    <row r="73" spans="1:8" ht="56.25" hidden="1" x14ac:dyDescent="0.2">
      <c r="A73" s="53">
        <v>15221</v>
      </c>
      <c r="B73" s="54" t="s">
        <v>580</v>
      </c>
      <c r="C73" s="55">
        <f ca="1">SUM(OFFSET(C76,-1,0):OFFSET(C73,1,0))</f>
        <v>0</v>
      </c>
      <c r="D73" s="358">
        <f ca="1">SUM(OFFSET(D76,-1,0):OFFSET(D73,1,0))</f>
        <v>0</v>
      </c>
      <c r="E73" s="55">
        <f ca="1">SUM(OFFSET(E76,-1,0):OFFSET(E73,1,0))</f>
        <v>0</v>
      </c>
      <c r="F73" s="55">
        <f ca="1">SUM(OFFSET(F76,-1,0):OFFSET(F73,1,0))</f>
        <v>0</v>
      </c>
      <c r="G73" s="55">
        <f ca="1">SUM(OFFSET(G76,-1,0):OFFSET(G73,1,0))</f>
        <v>0</v>
      </c>
      <c r="H73" s="55">
        <f ca="1">SUM(OFFSET(H76,-1,0):OFFSET(H73,1,0))</f>
        <v>0</v>
      </c>
    </row>
    <row r="74" spans="1:8" s="107" customFormat="1" hidden="1" x14ac:dyDescent="0.2">
      <c r="A74" s="86"/>
      <c r="B74" s="85"/>
      <c r="C74" s="84"/>
      <c r="D74" s="233"/>
      <c r="E74" s="84"/>
      <c r="F74" s="84"/>
      <c r="G74" s="84"/>
      <c r="H74" s="84"/>
    </row>
    <row r="75" spans="1:8" s="107" customFormat="1" hidden="1" x14ac:dyDescent="0.2">
      <c r="A75" s="86"/>
      <c r="B75" s="85"/>
      <c r="C75" s="84"/>
      <c r="D75" s="233"/>
      <c r="E75" s="84"/>
      <c r="F75" s="84"/>
      <c r="G75" s="84"/>
      <c r="H75" s="84"/>
    </row>
    <row r="76" spans="1:8" ht="56.25" hidden="1" x14ac:dyDescent="0.2">
      <c r="A76" s="53">
        <v>15222</v>
      </c>
      <c r="B76" s="54" t="s">
        <v>576</v>
      </c>
      <c r="C76" s="55">
        <f ca="1">SUM(OFFSET(C79,-1,0):OFFSET(C76,1,0))</f>
        <v>0</v>
      </c>
      <c r="D76" s="358">
        <f ca="1">SUM(OFFSET(D79,-1,0):OFFSET(D76,1,0))</f>
        <v>0</v>
      </c>
      <c r="E76" s="55">
        <f ca="1">SUM(OFFSET(E79,-1,0):OFFSET(E76,1,0))</f>
        <v>0</v>
      </c>
      <c r="F76" s="55">
        <f ca="1">SUM(OFFSET(F79,-1,0):OFFSET(F76,1,0))</f>
        <v>0</v>
      </c>
      <c r="G76" s="55">
        <f ca="1">SUM(OFFSET(G79,-1,0):OFFSET(G76,1,0))</f>
        <v>0</v>
      </c>
      <c r="H76" s="55">
        <f ca="1">SUM(OFFSET(H79,-1,0):OFFSET(H76,1,0))</f>
        <v>0</v>
      </c>
    </row>
    <row r="77" spans="1:8" s="107" customFormat="1" hidden="1" x14ac:dyDescent="0.2">
      <c r="A77" s="86"/>
      <c r="B77" s="85"/>
      <c r="C77" s="84"/>
      <c r="D77" s="233"/>
      <c r="E77" s="84"/>
      <c r="F77" s="84"/>
      <c r="G77" s="84"/>
      <c r="H77" s="84"/>
    </row>
    <row r="78" spans="1:8" s="107" customFormat="1" hidden="1" x14ac:dyDescent="0.2">
      <c r="A78" s="86"/>
      <c r="B78" s="85"/>
      <c r="C78" s="84"/>
      <c r="D78" s="233"/>
      <c r="E78" s="84"/>
      <c r="F78" s="84"/>
      <c r="G78" s="84"/>
      <c r="H78" s="84"/>
    </row>
    <row r="79" spans="1:8" ht="39" hidden="1" customHeight="1" x14ac:dyDescent="0.2">
      <c r="A79" s="53">
        <v>15223</v>
      </c>
      <c r="B79" s="54" t="s">
        <v>577</v>
      </c>
      <c r="C79" s="55">
        <f ca="1">SUM(OFFSET(C82,-1,0):OFFSET(C79,1,0))</f>
        <v>0</v>
      </c>
      <c r="D79" s="358">
        <f ca="1">SUM(OFFSET(D82,-1,0):OFFSET(D79,1,0))</f>
        <v>0</v>
      </c>
      <c r="E79" s="55">
        <f ca="1">SUM(OFFSET(E82,-1,0):OFFSET(E79,1,0))</f>
        <v>0</v>
      </c>
      <c r="F79" s="55">
        <f ca="1">SUM(OFFSET(F82,-1,0):OFFSET(F79,1,0))</f>
        <v>0</v>
      </c>
      <c r="G79" s="55">
        <f ca="1">SUM(OFFSET(G82,-1,0):OFFSET(G79,1,0))</f>
        <v>0</v>
      </c>
      <c r="H79" s="55">
        <f ca="1">SUM(OFFSET(H82,-1,0):OFFSET(H79,1,0))</f>
        <v>0</v>
      </c>
    </row>
    <row r="80" spans="1:8" s="107" customFormat="1" ht="39" hidden="1" customHeight="1" x14ac:dyDescent="0.2">
      <c r="A80" s="86"/>
      <c r="B80" s="85"/>
      <c r="C80" s="84"/>
      <c r="D80" s="233"/>
      <c r="E80" s="84"/>
      <c r="F80" s="84"/>
      <c r="G80" s="84"/>
      <c r="H80" s="84"/>
    </row>
    <row r="81" spans="1:8" s="107" customFormat="1" ht="39" hidden="1" customHeight="1" x14ac:dyDescent="0.2">
      <c r="A81" s="86"/>
      <c r="B81" s="85"/>
      <c r="C81" s="84"/>
      <c r="D81" s="233"/>
      <c r="E81" s="84"/>
      <c r="F81" s="84"/>
      <c r="G81" s="84"/>
      <c r="H81" s="84"/>
    </row>
    <row r="82" spans="1:8" ht="37.5" hidden="1" x14ac:dyDescent="0.2">
      <c r="A82" s="53">
        <v>15224</v>
      </c>
      <c r="B82" s="54" t="s">
        <v>578</v>
      </c>
      <c r="C82" s="55">
        <f ca="1">SUM(OFFSET(C85,-1,0):OFFSET(C82,1,0))</f>
        <v>0</v>
      </c>
      <c r="D82" s="358">
        <f ca="1">SUM(OFFSET(D85,-1,0):OFFSET(D82,1,0))</f>
        <v>0</v>
      </c>
      <c r="E82" s="55">
        <f ca="1">SUM(OFFSET(E85,-1,0):OFFSET(E82,1,0))</f>
        <v>0</v>
      </c>
      <c r="F82" s="55">
        <f ca="1">SUM(OFFSET(F85,-1,0):OFFSET(F82,1,0))</f>
        <v>0</v>
      </c>
      <c r="G82" s="55">
        <f ca="1">SUM(OFFSET(G85,-1,0):OFFSET(G82,1,0))</f>
        <v>0</v>
      </c>
      <c r="H82" s="55">
        <f ca="1">SUM(OFFSET(H85,-1,0):OFFSET(H82,1,0))</f>
        <v>0</v>
      </c>
    </row>
    <row r="83" spans="1:8" s="107" customFormat="1" hidden="1" x14ac:dyDescent="0.2">
      <c r="A83" s="86"/>
      <c r="B83" s="85"/>
      <c r="C83" s="84"/>
      <c r="D83" s="233"/>
      <c r="E83" s="84"/>
      <c r="F83" s="84"/>
      <c r="G83" s="84"/>
      <c r="H83" s="84"/>
    </row>
    <row r="84" spans="1:8" s="107" customFormat="1" hidden="1" x14ac:dyDescent="0.2">
      <c r="A84" s="86"/>
      <c r="B84" s="85"/>
      <c r="C84" s="84"/>
      <c r="D84" s="233"/>
      <c r="E84" s="84"/>
      <c r="F84" s="84"/>
      <c r="G84" s="84"/>
      <c r="H84" s="84"/>
    </row>
    <row r="85" spans="1:8" ht="37.5" x14ac:dyDescent="0.2">
      <c r="A85" s="53">
        <v>15225</v>
      </c>
      <c r="B85" s="54" t="s">
        <v>579</v>
      </c>
      <c r="C85" s="55">
        <f ca="1">SUM(OFFSET(C88,-1,0):OFFSET(C85,1,0))</f>
        <v>788931</v>
      </c>
      <c r="D85" s="358">
        <f ca="1">SUM(OFFSET(D88,-1,0):OFFSET(D85,1,0))</f>
        <v>1784741.1</v>
      </c>
      <c r="E85" s="55">
        <f ca="1">SUM(OFFSET(E88,-1,0):OFFSET(E85,1,0))</f>
        <v>306298</v>
      </c>
      <c r="F85" s="55">
        <f ca="1">SUM(OFFSET(F88,-1,0):OFFSET(F85,1,0))</f>
        <v>773799</v>
      </c>
      <c r="G85" s="55">
        <f ca="1">SUM(OFFSET(G88,-1,0):OFFSET(G85,1,0))</f>
        <v>835036</v>
      </c>
      <c r="H85" s="55">
        <f ca="1">SUM(OFFSET(H88,-1,0):OFFSET(H85,1,0))</f>
        <v>898524</v>
      </c>
    </row>
    <row r="86" spans="1:8" s="107" customFormat="1" hidden="1" x14ac:dyDescent="0.2">
      <c r="A86" s="86"/>
      <c r="B86" s="85"/>
      <c r="C86" s="84"/>
      <c r="D86" s="233"/>
      <c r="E86" s="84"/>
      <c r="F86" s="84"/>
      <c r="G86" s="84"/>
      <c r="H86" s="84"/>
    </row>
    <row r="87" spans="1:8" s="107" customFormat="1" x14ac:dyDescent="0.2">
      <c r="A87" s="86"/>
      <c r="B87" s="85"/>
      <c r="C87" s="84">
        <v>788931</v>
      </c>
      <c r="D87" s="233">
        <v>1784741.1</v>
      </c>
      <c r="E87" s="84">
        <v>306298</v>
      </c>
      <c r="F87" s="84">
        <v>773799</v>
      </c>
      <c r="G87" s="84">
        <v>835036</v>
      </c>
      <c r="H87" s="84">
        <v>898524</v>
      </c>
    </row>
    <row r="88" spans="1:8" hidden="1" x14ac:dyDescent="0.2">
      <c r="A88" s="50">
        <v>15230</v>
      </c>
      <c r="B88" s="28" t="s">
        <v>316</v>
      </c>
      <c r="C88" s="51">
        <f t="shared" ref="C88:F88" ca="1" si="52">C89+C92+C95+C98+C101</f>
        <v>0</v>
      </c>
      <c r="D88" s="357">
        <f t="shared" ca="1" si="52"/>
        <v>0</v>
      </c>
      <c r="E88" s="51">
        <f t="shared" ca="1" si="52"/>
        <v>0</v>
      </c>
      <c r="F88" s="51">
        <f t="shared" ca="1" si="52"/>
        <v>0</v>
      </c>
      <c r="G88" s="51">
        <f t="shared" ref="G88:H88" ca="1" si="53">G89+G92+G95+G98+G101</f>
        <v>0</v>
      </c>
      <c r="H88" s="51">
        <f t="shared" ca="1" si="53"/>
        <v>0</v>
      </c>
    </row>
    <row r="89" spans="1:8" ht="56.25" hidden="1" x14ac:dyDescent="0.2">
      <c r="A89" s="53">
        <v>15231</v>
      </c>
      <c r="B89" s="54" t="s">
        <v>580</v>
      </c>
      <c r="C89" s="55">
        <f ca="1">SUM(OFFSET(C92,-1,0):OFFSET(C89,1,0))</f>
        <v>0</v>
      </c>
      <c r="D89" s="358">
        <f ca="1">SUM(OFFSET(D92,-1,0):OFFSET(D89,1,0))</f>
        <v>0</v>
      </c>
      <c r="E89" s="55">
        <f ca="1">SUM(OFFSET(E92,-1,0):OFFSET(E89,1,0))</f>
        <v>0</v>
      </c>
      <c r="F89" s="55">
        <f ca="1">SUM(OFFSET(F92,-1,0):OFFSET(F89,1,0))</f>
        <v>0</v>
      </c>
      <c r="G89" s="55">
        <f ca="1">SUM(OFFSET(G92,-1,0):OFFSET(G89,1,0))</f>
        <v>0</v>
      </c>
      <c r="H89" s="55">
        <f ca="1">SUM(OFFSET(H92,-1,0):OFFSET(H89,1,0))</f>
        <v>0</v>
      </c>
    </row>
    <row r="90" spans="1:8" s="107" customFormat="1" hidden="1" x14ac:dyDescent="0.2">
      <c r="A90" s="86"/>
      <c r="B90" s="85"/>
      <c r="C90" s="84"/>
      <c r="D90" s="233"/>
      <c r="E90" s="84"/>
      <c r="F90" s="84"/>
      <c r="G90" s="84"/>
      <c r="H90" s="84"/>
    </row>
    <row r="91" spans="1:8" s="107" customFormat="1" hidden="1" x14ac:dyDescent="0.2">
      <c r="A91" s="86"/>
      <c r="B91" s="85"/>
      <c r="C91" s="84"/>
      <c r="D91" s="233"/>
      <c r="E91" s="84"/>
      <c r="F91" s="84"/>
      <c r="G91" s="84"/>
      <c r="H91" s="84"/>
    </row>
    <row r="92" spans="1:8" ht="56.25" hidden="1" x14ac:dyDescent="0.2">
      <c r="A92" s="53">
        <v>15232</v>
      </c>
      <c r="B92" s="54" t="s">
        <v>576</v>
      </c>
      <c r="C92" s="55">
        <f ca="1">SUM(OFFSET(C95,-1,0):OFFSET(C92,1,0))</f>
        <v>0</v>
      </c>
      <c r="D92" s="358">
        <f ca="1">SUM(OFFSET(D95,-1,0):OFFSET(D92,1,0))</f>
        <v>0</v>
      </c>
      <c r="E92" s="55">
        <f ca="1">SUM(OFFSET(E95,-1,0):OFFSET(E92,1,0))</f>
        <v>0</v>
      </c>
      <c r="F92" s="55">
        <f ca="1">SUM(OFFSET(F95,-1,0):OFFSET(F92,1,0))</f>
        <v>0</v>
      </c>
      <c r="G92" s="55">
        <f ca="1">SUM(OFFSET(G95,-1,0):OFFSET(G92,1,0))</f>
        <v>0</v>
      </c>
      <c r="H92" s="55">
        <f ca="1">SUM(OFFSET(H95,-1,0):OFFSET(H92,1,0))</f>
        <v>0</v>
      </c>
    </row>
    <row r="93" spans="1:8" s="107" customFormat="1" hidden="1" x14ac:dyDescent="0.2">
      <c r="A93" s="86"/>
      <c r="B93" s="85"/>
      <c r="C93" s="84"/>
      <c r="D93" s="233"/>
      <c r="E93" s="84"/>
      <c r="F93" s="84"/>
      <c r="G93" s="84"/>
      <c r="H93" s="84"/>
    </row>
    <row r="94" spans="1:8" s="107" customFormat="1" hidden="1" x14ac:dyDescent="0.2">
      <c r="A94" s="86"/>
      <c r="B94" s="85"/>
      <c r="C94" s="84"/>
      <c r="D94" s="233"/>
      <c r="E94" s="84"/>
      <c r="F94" s="84"/>
      <c r="G94" s="84"/>
      <c r="H94" s="84"/>
    </row>
    <row r="95" spans="1:8" ht="38.25" hidden="1" customHeight="1" x14ac:dyDescent="0.2">
      <c r="A95" s="53">
        <v>15233</v>
      </c>
      <c r="B95" s="54" t="s">
        <v>577</v>
      </c>
      <c r="C95" s="55">
        <f ca="1">SUM(OFFSET(C98,-1,0):OFFSET(C95,1,0))</f>
        <v>0</v>
      </c>
      <c r="D95" s="358">
        <f ca="1">SUM(OFFSET(D98,-1,0):OFFSET(D95,1,0))</f>
        <v>0</v>
      </c>
      <c r="E95" s="55">
        <f ca="1">SUM(OFFSET(E98,-1,0):OFFSET(E95,1,0))</f>
        <v>0</v>
      </c>
      <c r="F95" s="55">
        <f ca="1">SUM(OFFSET(F98,-1,0):OFFSET(F95,1,0))</f>
        <v>0</v>
      </c>
      <c r="G95" s="55">
        <f ca="1">SUM(OFFSET(G98,-1,0):OFFSET(G95,1,0))</f>
        <v>0</v>
      </c>
      <c r="H95" s="55">
        <f ca="1">SUM(OFFSET(H98,-1,0):OFFSET(H95,1,0))</f>
        <v>0</v>
      </c>
    </row>
    <row r="96" spans="1:8" s="107" customFormat="1" ht="38.25" hidden="1" customHeight="1" x14ac:dyDescent="0.2">
      <c r="A96" s="86"/>
      <c r="B96" s="85"/>
      <c r="C96" s="84"/>
      <c r="D96" s="233"/>
      <c r="E96" s="84"/>
      <c r="F96" s="84"/>
      <c r="G96" s="84"/>
      <c r="H96" s="84"/>
    </row>
    <row r="97" spans="1:8" s="107" customFormat="1" ht="38.25" hidden="1" customHeight="1" x14ac:dyDescent="0.2">
      <c r="A97" s="86"/>
      <c r="B97" s="85"/>
      <c r="C97" s="84"/>
      <c r="D97" s="233"/>
      <c r="E97" s="84"/>
      <c r="F97" s="84"/>
      <c r="G97" s="84"/>
      <c r="H97" s="84"/>
    </row>
    <row r="98" spans="1:8" ht="37.5" hidden="1" x14ac:dyDescent="0.2">
      <c r="A98" s="53">
        <v>15234</v>
      </c>
      <c r="B98" s="54" t="s">
        <v>578</v>
      </c>
      <c r="C98" s="55">
        <f ca="1">SUM(OFFSET(C101,-1,0):OFFSET(C98,1,0))</f>
        <v>0</v>
      </c>
      <c r="D98" s="358">
        <f ca="1">SUM(OFFSET(D101,-1,0):OFFSET(D98,1,0))</f>
        <v>0</v>
      </c>
      <c r="E98" s="55">
        <f ca="1">SUM(OFFSET(E101,-1,0):OFFSET(E98,1,0))</f>
        <v>0</v>
      </c>
      <c r="F98" s="55">
        <f ca="1">SUM(OFFSET(F101,-1,0):OFFSET(F98,1,0))</f>
        <v>0</v>
      </c>
      <c r="G98" s="55">
        <f ca="1">SUM(OFFSET(G101,-1,0):OFFSET(G98,1,0))</f>
        <v>0</v>
      </c>
      <c r="H98" s="55">
        <f ca="1">SUM(OFFSET(H101,-1,0):OFFSET(H98,1,0))</f>
        <v>0</v>
      </c>
    </row>
    <row r="99" spans="1:8" s="107" customFormat="1" hidden="1" x14ac:dyDescent="0.2">
      <c r="A99" s="86"/>
      <c r="B99" s="85"/>
      <c r="C99" s="84"/>
      <c r="D99" s="233"/>
      <c r="E99" s="84"/>
      <c r="F99" s="84"/>
      <c r="G99" s="84"/>
      <c r="H99" s="84"/>
    </row>
    <row r="100" spans="1:8" s="107" customFormat="1" hidden="1" x14ac:dyDescent="0.2">
      <c r="A100" s="86"/>
      <c r="B100" s="85"/>
      <c r="C100" s="84"/>
      <c r="D100" s="233"/>
      <c r="E100" s="84"/>
      <c r="F100" s="84"/>
      <c r="G100" s="84"/>
      <c r="H100" s="84"/>
    </row>
    <row r="101" spans="1:8" ht="37.5" hidden="1" x14ac:dyDescent="0.2">
      <c r="A101" s="53">
        <v>15234</v>
      </c>
      <c r="B101" s="54" t="s">
        <v>579</v>
      </c>
      <c r="C101" s="55">
        <f ca="1">SUM(OFFSET(C104,-1,0):OFFSET(C101,1,0))</f>
        <v>0</v>
      </c>
      <c r="D101" s="358">
        <f ca="1">SUM(OFFSET(D104,-1,0):OFFSET(D101,1,0))</f>
        <v>0</v>
      </c>
      <c r="E101" s="55">
        <f ca="1">SUM(OFFSET(E104,-1,0):OFFSET(E101,1,0))</f>
        <v>0</v>
      </c>
      <c r="F101" s="55">
        <f ca="1">SUM(OFFSET(F104,-1,0):OFFSET(F101,1,0))</f>
        <v>0</v>
      </c>
      <c r="G101" s="55">
        <f ca="1">SUM(OFFSET(G104,-1,0):OFFSET(G101,1,0))</f>
        <v>0</v>
      </c>
      <c r="H101" s="55">
        <f ca="1">SUM(OFFSET(H104,-1,0):OFFSET(H101,1,0))</f>
        <v>0</v>
      </c>
    </row>
    <row r="102" spans="1:8" s="107" customFormat="1" hidden="1" x14ac:dyDescent="0.2">
      <c r="A102" s="86"/>
      <c r="B102" s="85"/>
      <c r="C102" s="84"/>
      <c r="D102" s="233"/>
      <c r="E102" s="84"/>
      <c r="F102" s="84"/>
      <c r="G102" s="84"/>
      <c r="H102" s="84"/>
    </row>
    <row r="103" spans="1:8" s="107" customFormat="1" hidden="1" x14ac:dyDescent="0.2">
      <c r="A103" s="86"/>
      <c r="B103" s="85"/>
      <c r="C103" s="84"/>
      <c r="D103" s="233"/>
      <c r="E103" s="84"/>
      <c r="F103" s="84"/>
      <c r="G103" s="84"/>
      <c r="H103" s="84"/>
    </row>
    <row r="104" spans="1:8" hidden="1" x14ac:dyDescent="0.2">
      <c r="A104" s="56">
        <v>15300</v>
      </c>
      <c r="B104" s="57" t="s">
        <v>195</v>
      </c>
      <c r="C104" s="83">
        <v>0</v>
      </c>
      <c r="D104" s="355">
        <v>0</v>
      </c>
      <c r="E104" s="83">
        <v>0</v>
      </c>
      <c r="F104" s="83">
        <v>0</v>
      </c>
      <c r="G104" s="83">
        <v>0</v>
      </c>
      <c r="H104" s="83">
        <v>0</v>
      </c>
    </row>
    <row r="105" spans="1:8" ht="37.5" x14ac:dyDescent="0.2">
      <c r="A105" s="58">
        <v>16000</v>
      </c>
      <c r="B105" s="59" t="s">
        <v>327</v>
      </c>
      <c r="C105" s="60">
        <f t="shared" ref="C105:F105" ca="1" si="54">C47-C53</f>
        <v>-788931</v>
      </c>
      <c r="D105" s="362">
        <f t="shared" ca="1" si="54"/>
        <v>-1784741.1</v>
      </c>
      <c r="E105" s="60">
        <f t="shared" ca="1" si="54"/>
        <v>-306298</v>
      </c>
      <c r="F105" s="60">
        <f t="shared" ca="1" si="54"/>
        <v>-773799</v>
      </c>
      <c r="G105" s="60">
        <f t="shared" ref="G105:H105" ca="1" si="55">G47-G53</f>
        <v>-835036</v>
      </c>
      <c r="H105" s="60">
        <f t="shared" ca="1" si="55"/>
        <v>-898524</v>
      </c>
    </row>
    <row r="106" spans="1:8" x14ac:dyDescent="0.2">
      <c r="A106" s="80" t="s">
        <v>312</v>
      </c>
      <c r="B106" s="302" t="s">
        <v>198</v>
      </c>
      <c r="D106" s="32"/>
    </row>
    <row r="107" spans="1:8" x14ac:dyDescent="0.2">
      <c r="A107" s="61">
        <v>17000</v>
      </c>
      <c r="B107" s="62" t="s">
        <v>323</v>
      </c>
      <c r="C107" s="63">
        <f t="shared" ref="C107:F107" ca="1" si="56">C108+C109+C110</f>
        <v>415490</v>
      </c>
      <c r="D107" s="363">
        <f t="shared" ca="1" si="56"/>
        <v>432103.82</v>
      </c>
      <c r="E107" s="63">
        <f t="shared" ca="1" si="56"/>
        <v>37812</v>
      </c>
      <c r="F107" s="63">
        <f t="shared" ca="1" si="56"/>
        <v>37812</v>
      </c>
      <c r="G107" s="63">
        <f t="shared" ref="G107:H107" ca="1" si="57">G108+G109+G110</f>
        <v>221891</v>
      </c>
      <c r="H107" s="63">
        <f t="shared" ca="1" si="57"/>
        <v>221891</v>
      </c>
    </row>
    <row r="108" spans="1:8" ht="56.25" hidden="1" x14ac:dyDescent="0.2">
      <c r="A108" s="64">
        <v>17100</v>
      </c>
      <c r="B108" s="65" t="s">
        <v>200</v>
      </c>
      <c r="C108" s="17"/>
      <c r="D108" s="352"/>
      <c r="E108" s="17"/>
      <c r="F108" s="17"/>
      <c r="G108" s="17"/>
      <c r="H108" s="17"/>
    </row>
    <row r="109" spans="1:8" hidden="1" x14ac:dyDescent="0.2">
      <c r="A109" s="64">
        <v>17200</v>
      </c>
      <c r="B109" s="65" t="s">
        <v>322</v>
      </c>
      <c r="C109" s="17"/>
      <c r="D109" s="352"/>
      <c r="E109" s="17"/>
      <c r="F109" s="17"/>
      <c r="G109" s="17"/>
      <c r="H109" s="17"/>
    </row>
    <row r="110" spans="1:8" ht="37.5" x14ac:dyDescent="0.2">
      <c r="A110" s="39">
        <v>17300</v>
      </c>
      <c r="B110" s="40" t="s">
        <v>199</v>
      </c>
      <c r="C110" s="41">
        <f t="shared" ref="C110:F110" ca="1" si="58">C111+C114+C117+C120+C123</f>
        <v>415490</v>
      </c>
      <c r="D110" s="258">
        <f t="shared" ca="1" si="58"/>
        <v>432103.82</v>
      </c>
      <c r="E110" s="41">
        <f t="shared" ca="1" si="58"/>
        <v>37812</v>
      </c>
      <c r="F110" s="41">
        <f t="shared" ca="1" si="58"/>
        <v>37812</v>
      </c>
      <c r="G110" s="41">
        <f t="shared" ref="G110:H110" ca="1" si="59">G111+G114+G117+G120+G123</f>
        <v>221891</v>
      </c>
      <c r="H110" s="41">
        <f t="shared" ca="1" si="59"/>
        <v>221891</v>
      </c>
    </row>
    <row r="111" spans="1:8" ht="56.25" hidden="1" x14ac:dyDescent="0.2">
      <c r="A111" s="66">
        <v>17310</v>
      </c>
      <c r="B111" s="67" t="s">
        <v>581</v>
      </c>
      <c r="C111" s="68">
        <f ca="1">SUM(OFFSET(C114,-1,0):OFFSET(C111,1,0))</f>
        <v>0</v>
      </c>
      <c r="D111" s="359">
        <f ca="1">SUM(OFFSET(D114,-1,0):OFFSET(D111,1,0))</f>
        <v>0</v>
      </c>
      <c r="E111" s="68">
        <f ca="1">SUM(OFFSET(E114,-1,0):OFFSET(E111,1,0))</f>
        <v>0</v>
      </c>
      <c r="F111" s="68">
        <f ca="1">SUM(OFFSET(F114,-1,0):OFFSET(F111,1,0))</f>
        <v>0</v>
      </c>
      <c r="G111" s="68">
        <f ca="1">SUM(OFFSET(G114,-1,0):OFFSET(G111,1,0))</f>
        <v>0</v>
      </c>
      <c r="H111" s="68">
        <f ca="1">SUM(OFFSET(H114,-1,0):OFFSET(H111,1,0))</f>
        <v>0</v>
      </c>
    </row>
    <row r="112" spans="1:8" s="107" customFormat="1" hidden="1" x14ac:dyDescent="0.2">
      <c r="A112" s="87"/>
      <c r="B112" s="88"/>
      <c r="C112" s="18"/>
      <c r="D112" s="360"/>
      <c r="E112" s="18"/>
      <c r="F112" s="18"/>
      <c r="G112" s="18"/>
      <c r="H112" s="18"/>
    </row>
    <row r="113" spans="1:8" s="107" customFormat="1" hidden="1" x14ac:dyDescent="0.2">
      <c r="A113" s="87"/>
      <c r="B113" s="88"/>
      <c r="C113" s="18"/>
      <c r="D113" s="234"/>
      <c r="E113" s="18"/>
      <c r="F113" s="18"/>
      <c r="G113" s="18"/>
      <c r="H113" s="18"/>
    </row>
    <row r="114" spans="1:8" ht="56.25" x14ac:dyDescent="0.2">
      <c r="A114" s="66">
        <v>17320</v>
      </c>
      <c r="B114" s="69" t="s">
        <v>471</v>
      </c>
      <c r="C114" s="68">
        <f ca="1">SUM(OFFSET(C117,-1,0):OFFSET(C114,1,0))</f>
        <v>415490</v>
      </c>
      <c r="D114" s="359">
        <f ca="1">SUM(OFFSET(D117,-1,0):OFFSET(D114,1,0))</f>
        <v>432103.82</v>
      </c>
      <c r="E114" s="68">
        <f ca="1">SUM(OFFSET(E117,-1,0):OFFSET(E114,1,0))</f>
        <v>37812</v>
      </c>
      <c r="F114" s="68">
        <f ca="1">SUM(OFFSET(F117,-1,0):OFFSET(F114,1,0))</f>
        <v>37812</v>
      </c>
      <c r="G114" s="68">
        <f ca="1">SUM(OFFSET(G117,-1,0):OFFSET(G114,1,0))</f>
        <v>221891</v>
      </c>
      <c r="H114" s="68">
        <f ca="1">SUM(OFFSET(H117,-1,0):OFFSET(H114,1,0))</f>
        <v>221891</v>
      </c>
    </row>
    <row r="115" spans="1:8" s="107" customFormat="1" hidden="1" x14ac:dyDescent="0.2">
      <c r="A115" s="87"/>
      <c r="B115" s="89"/>
      <c r="C115" s="18"/>
      <c r="D115" s="234"/>
      <c r="E115" s="18"/>
      <c r="F115" s="18"/>
      <c r="G115" s="18"/>
      <c r="H115" s="18"/>
    </row>
    <row r="116" spans="1:8" s="107" customFormat="1" x14ac:dyDescent="0.2">
      <c r="A116" s="87"/>
      <c r="B116" s="89"/>
      <c r="C116" s="18">
        <v>415490</v>
      </c>
      <c r="D116" s="234">
        <v>432103.82</v>
      </c>
      <c r="E116" s="18">
        <v>37812</v>
      </c>
      <c r="F116" s="18">
        <v>37812</v>
      </c>
      <c r="G116" s="18">
        <v>221891</v>
      </c>
      <c r="H116" s="18">
        <v>221891</v>
      </c>
    </row>
    <row r="117" spans="1:8" ht="56.25" hidden="1" x14ac:dyDescent="0.2">
      <c r="A117" s="31">
        <v>17330</v>
      </c>
      <c r="B117" s="70" t="s">
        <v>582</v>
      </c>
      <c r="C117" s="68">
        <f ca="1">SUM(OFFSET(C120,-1,0):OFFSET(C117,1,0))</f>
        <v>0</v>
      </c>
      <c r="D117" s="359">
        <f ca="1">SUM(OFFSET(D120,-1,0):OFFSET(D117,1,0))</f>
        <v>0</v>
      </c>
      <c r="E117" s="68">
        <f ca="1">SUM(OFFSET(E120,-1,0):OFFSET(E117,1,0))</f>
        <v>0</v>
      </c>
      <c r="F117" s="68">
        <f ca="1">SUM(OFFSET(F120,-1,0):OFFSET(F117,1,0))</f>
        <v>0</v>
      </c>
      <c r="G117" s="68">
        <f ca="1">SUM(OFFSET(G120,-1,0):OFFSET(G117,1,0))</f>
        <v>0</v>
      </c>
      <c r="H117" s="68">
        <f ca="1">SUM(OFFSET(H120,-1,0):OFFSET(H117,1,0))</f>
        <v>0</v>
      </c>
    </row>
    <row r="118" spans="1:8" s="107" customFormat="1" hidden="1" x14ac:dyDescent="0.2">
      <c r="A118" s="90"/>
      <c r="B118" s="91"/>
      <c r="C118" s="18"/>
      <c r="D118" s="234"/>
      <c r="E118" s="18"/>
      <c r="F118" s="18"/>
      <c r="G118" s="18"/>
      <c r="H118" s="18"/>
    </row>
    <row r="119" spans="1:8" s="107" customFormat="1" hidden="1" x14ac:dyDescent="0.2">
      <c r="A119" s="90"/>
      <c r="B119" s="91"/>
      <c r="C119" s="18"/>
      <c r="D119" s="234"/>
      <c r="E119" s="18"/>
      <c r="F119" s="18"/>
      <c r="G119" s="18"/>
      <c r="H119" s="18"/>
    </row>
    <row r="120" spans="1:8" ht="56.25" hidden="1" x14ac:dyDescent="0.2">
      <c r="A120" s="31">
        <v>17340</v>
      </c>
      <c r="B120" s="70" t="s">
        <v>583</v>
      </c>
      <c r="C120" s="68">
        <f ca="1">SUM(OFFSET(C123,-1,0):OFFSET(C120,1,0))</f>
        <v>0</v>
      </c>
      <c r="D120" s="359">
        <f ca="1">SUM(OFFSET(D123,-1,0):OFFSET(D120,1,0))</f>
        <v>0</v>
      </c>
      <c r="E120" s="68">
        <f ca="1">SUM(OFFSET(E123,-1,0):OFFSET(E120,1,0))</f>
        <v>0</v>
      </c>
      <c r="F120" s="68">
        <f ca="1">SUM(OFFSET(F123,-1,0):OFFSET(F120,1,0))</f>
        <v>0</v>
      </c>
      <c r="G120" s="68">
        <f ca="1">SUM(OFFSET(G123,-1,0):OFFSET(G120,1,0))</f>
        <v>0</v>
      </c>
      <c r="H120" s="68">
        <f ca="1">SUM(OFFSET(H123,-1,0):OFFSET(H120,1,0))</f>
        <v>0</v>
      </c>
    </row>
    <row r="121" spans="1:8" s="107" customFormat="1" hidden="1" x14ac:dyDescent="0.2">
      <c r="A121" s="90"/>
      <c r="B121" s="91"/>
      <c r="C121" s="18"/>
      <c r="D121" s="360"/>
      <c r="E121" s="18"/>
      <c r="F121" s="18"/>
      <c r="G121" s="18"/>
      <c r="H121" s="18"/>
    </row>
    <row r="122" spans="1:8" s="107" customFormat="1" hidden="1" x14ac:dyDescent="0.2">
      <c r="A122" s="90"/>
      <c r="B122" s="91"/>
      <c r="C122" s="18"/>
      <c r="D122" s="234"/>
      <c r="E122" s="18"/>
      <c r="F122" s="18"/>
      <c r="G122" s="18"/>
      <c r="H122" s="18"/>
    </row>
    <row r="123" spans="1:8" ht="37.5" hidden="1" x14ac:dyDescent="0.2">
      <c r="A123" s="66">
        <v>17350</v>
      </c>
      <c r="B123" s="71" t="s">
        <v>584</v>
      </c>
      <c r="C123" s="68">
        <f ca="1">SUM(OFFSET(C126,-1,0):OFFSET(C123,1,0))</f>
        <v>0</v>
      </c>
      <c r="D123" s="359">
        <f ca="1">SUM(OFFSET(D126,-1,0):OFFSET(D123,1,0))</f>
        <v>0</v>
      </c>
      <c r="E123" s="68">
        <f ca="1">SUM(OFFSET(E126,-1,0):OFFSET(E123,1,0))</f>
        <v>0</v>
      </c>
      <c r="F123" s="68">
        <f ca="1">SUM(OFFSET(F126,-1,0):OFFSET(F123,1,0))</f>
        <v>0</v>
      </c>
      <c r="G123" s="68">
        <f ca="1">SUM(OFFSET(G126,-1,0):OFFSET(G123,1,0))</f>
        <v>0</v>
      </c>
      <c r="H123" s="68">
        <f ca="1">SUM(OFFSET(H126,-1,0):OFFSET(H123,1,0))</f>
        <v>0</v>
      </c>
    </row>
    <row r="124" spans="1:8" s="107" customFormat="1" hidden="1" x14ac:dyDescent="0.2">
      <c r="A124" s="87"/>
      <c r="B124" s="92"/>
      <c r="C124" s="18"/>
      <c r="D124" s="234"/>
      <c r="E124" s="18"/>
      <c r="F124" s="18"/>
      <c r="G124" s="18"/>
      <c r="H124" s="18"/>
    </row>
    <row r="125" spans="1:8" s="107" customFormat="1" hidden="1" x14ac:dyDescent="0.2">
      <c r="A125" s="87"/>
      <c r="B125" s="92"/>
      <c r="C125" s="18"/>
      <c r="D125" s="234"/>
      <c r="E125" s="18"/>
      <c r="F125" s="18"/>
      <c r="G125" s="18"/>
      <c r="H125" s="18"/>
    </row>
    <row r="126" spans="1:8" hidden="1" x14ac:dyDescent="0.2">
      <c r="A126" s="72">
        <v>18000</v>
      </c>
      <c r="B126" s="49" t="s">
        <v>324</v>
      </c>
      <c r="C126" s="38">
        <f t="shared" ref="C126:F126" si="60">C127+C128+C129</f>
        <v>0</v>
      </c>
      <c r="D126" s="258">
        <f t="shared" si="60"/>
        <v>0</v>
      </c>
      <c r="E126" s="38">
        <f t="shared" si="60"/>
        <v>0</v>
      </c>
      <c r="F126" s="38">
        <f t="shared" si="60"/>
        <v>0</v>
      </c>
      <c r="G126" s="38">
        <f t="shared" ref="G126:H126" si="61">G127+G128+G129</f>
        <v>0</v>
      </c>
      <c r="H126" s="38">
        <f t="shared" si="61"/>
        <v>0</v>
      </c>
    </row>
    <row r="127" spans="1:8" hidden="1" x14ac:dyDescent="0.2">
      <c r="A127" s="73">
        <v>18100</v>
      </c>
      <c r="B127" s="74" t="s">
        <v>325</v>
      </c>
      <c r="C127" s="17"/>
      <c r="D127" s="352"/>
      <c r="E127" s="17"/>
      <c r="F127" s="17"/>
      <c r="G127" s="17"/>
      <c r="H127" s="17"/>
    </row>
    <row r="128" spans="1:8" ht="37.5" hidden="1" x14ac:dyDescent="0.2">
      <c r="A128" s="73">
        <v>18200</v>
      </c>
      <c r="B128" s="74" t="s">
        <v>201</v>
      </c>
      <c r="C128" s="17"/>
      <c r="D128" s="352"/>
      <c r="E128" s="17"/>
      <c r="F128" s="17"/>
      <c r="G128" s="17"/>
      <c r="H128" s="17"/>
    </row>
    <row r="129" spans="1:8" hidden="1" x14ac:dyDescent="0.2">
      <c r="A129" s="73">
        <v>18300</v>
      </c>
      <c r="B129" s="74" t="s">
        <v>202</v>
      </c>
      <c r="C129" s="17"/>
      <c r="D129" s="352"/>
      <c r="E129" s="17"/>
      <c r="F129" s="17"/>
      <c r="G129" s="17"/>
      <c r="H129" s="17"/>
    </row>
    <row r="130" spans="1:8" ht="37.5" x14ac:dyDescent="0.2">
      <c r="A130" s="36">
        <v>19000</v>
      </c>
      <c r="B130" s="75" t="s">
        <v>326</v>
      </c>
      <c r="C130" s="38">
        <f t="shared" ref="C130:F130" ca="1" si="62">C107-C126</f>
        <v>415490</v>
      </c>
      <c r="D130" s="258">
        <f t="shared" ca="1" si="62"/>
        <v>432103.82</v>
      </c>
      <c r="E130" s="38">
        <f t="shared" ca="1" si="62"/>
        <v>37812</v>
      </c>
      <c r="F130" s="38">
        <f t="shared" ca="1" si="62"/>
        <v>37812</v>
      </c>
      <c r="G130" s="38">
        <f t="shared" ref="G130:H130" ca="1" si="63">G107-G126</f>
        <v>221891</v>
      </c>
      <c r="H130" s="38">
        <f t="shared" ca="1" si="63"/>
        <v>221891</v>
      </c>
    </row>
    <row r="131" spans="1:8" ht="37.5" hidden="1" x14ac:dyDescent="0.2">
      <c r="A131" s="64">
        <v>20100</v>
      </c>
      <c r="B131" s="76" t="s">
        <v>203</v>
      </c>
      <c r="C131" s="17"/>
      <c r="D131" s="352"/>
      <c r="E131" s="17"/>
      <c r="F131" s="17"/>
      <c r="G131" s="17"/>
      <c r="H131" s="17"/>
    </row>
    <row r="132" spans="1:8" ht="37.5" hidden="1" x14ac:dyDescent="0.2">
      <c r="A132" s="64">
        <v>20200</v>
      </c>
      <c r="B132" s="76" t="s">
        <v>204</v>
      </c>
      <c r="C132" s="17"/>
      <c r="D132" s="352"/>
      <c r="E132" s="17"/>
      <c r="F132" s="17"/>
      <c r="G132" s="17"/>
      <c r="H132" s="17"/>
    </row>
    <row r="133" spans="1:8" ht="37.5" x14ac:dyDescent="0.2">
      <c r="A133" s="33">
        <v>21000</v>
      </c>
      <c r="B133" s="77" t="s">
        <v>205</v>
      </c>
      <c r="C133" s="35">
        <f t="shared" ref="C133" ca="1" si="64">C3+C45+C105+C130+C131+C132</f>
        <v>3360490</v>
      </c>
      <c r="D133" s="350">
        <f ca="1">D3+D45+D105+D130+D131+D132</f>
        <v>1845934.1799999934</v>
      </c>
      <c r="E133" s="35">
        <f t="shared" ref="E133" ca="1" si="65">E3+E45+E105+E130+E131+E132</f>
        <v>2060417</v>
      </c>
      <c r="F133" s="35">
        <f t="shared" ref="F133" ca="1" si="66">F3+F45+F105+F130+F131+F132</f>
        <v>2005967.1799999932</v>
      </c>
      <c r="G133" s="35">
        <f t="shared" ref="G133:H133" ca="1" si="67">G3+G45+G105+G130+G131+G132</f>
        <v>2322107</v>
      </c>
      <c r="H133" s="35">
        <f t="shared" ca="1" si="67"/>
        <v>2212856</v>
      </c>
    </row>
    <row r="134" spans="1:8" x14ac:dyDescent="0.2">
      <c r="A134" s="78">
        <v>21100</v>
      </c>
      <c r="B134" s="79" t="s">
        <v>206</v>
      </c>
      <c r="C134" s="17"/>
      <c r="D134" s="352"/>
      <c r="E134" s="17"/>
      <c r="F134" s="17"/>
      <c r="G134" s="17"/>
      <c r="H134" s="17"/>
    </row>
    <row r="135" spans="1:8" x14ac:dyDescent="0.2">
      <c r="A135" s="78">
        <v>21200</v>
      </c>
      <c r="B135" s="79" t="s">
        <v>207</v>
      </c>
      <c r="C135" s="17">
        <v>0</v>
      </c>
      <c r="D135" s="352">
        <v>102055.85</v>
      </c>
      <c r="E135" s="17">
        <v>102056</v>
      </c>
      <c r="F135" s="17"/>
      <c r="G135" s="17"/>
      <c r="H135" s="17"/>
    </row>
    <row r="136" spans="1:8" ht="17.25" customHeight="1" x14ac:dyDescent="0.2">
      <c r="A136" s="78">
        <v>21300</v>
      </c>
      <c r="B136" s="79" t="s">
        <v>208</v>
      </c>
      <c r="C136" s="17"/>
      <c r="D136" s="352"/>
      <c r="E136" s="17"/>
      <c r="F136" s="17"/>
      <c r="G136" s="17"/>
      <c r="H136" s="17"/>
    </row>
    <row r="137" spans="1:8" x14ac:dyDescent="0.2">
      <c r="A137" s="78">
        <v>21400</v>
      </c>
      <c r="B137" s="79" t="s">
        <v>209</v>
      </c>
      <c r="C137" s="17">
        <v>1166</v>
      </c>
      <c r="D137" s="352">
        <v>1167.48</v>
      </c>
      <c r="E137" s="352">
        <v>1167.48</v>
      </c>
      <c r="F137" s="352">
        <v>1167.48</v>
      </c>
      <c r="G137" s="352">
        <v>1167.48</v>
      </c>
      <c r="H137" s="352">
        <v>1168</v>
      </c>
    </row>
    <row r="138" spans="1:8" x14ac:dyDescent="0.2">
      <c r="A138" s="78">
        <v>21500</v>
      </c>
      <c r="B138" s="79" t="s">
        <v>210</v>
      </c>
      <c r="C138" s="17">
        <v>2658253</v>
      </c>
      <c r="D138" s="352">
        <f>1742650.23+60</f>
        <v>1742710.23</v>
      </c>
      <c r="E138" s="17">
        <f ca="1">E133-E135-E137-E140</f>
        <v>1957193.52</v>
      </c>
      <c r="F138" s="17">
        <f t="shared" ref="F138:H138" ca="1" si="68">F133-F135-F137-F140</f>
        <v>2004799.6999999932</v>
      </c>
      <c r="G138" s="17">
        <f t="shared" ca="1" si="68"/>
        <v>2320939.52</v>
      </c>
      <c r="H138" s="17">
        <f t="shared" ca="1" si="68"/>
        <v>2211688</v>
      </c>
    </row>
    <row r="139" spans="1:8" x14ac:dyDescent="0.2">
      <c r="A139" s="78">
        <v>21600</v>
      </c>
      <c r="B139" s="79" t="s">
        <v>211</v>
      </c>
      <c r="C139" s="17"/>
      <c r="D139" s="352"/>
      <c r="E139" s="17"/>
      <c r="F139" s="17"/>
      <c r="G139" s="17"/>
      <c r="H139" s="17"/>
    </row>
    <row r="140" spans="1:8" x14ac:dyDescent="0.2">
      <c r="A140" s="78">
        <v>21700</v>
      </c>
      <c r="B140" s="79" t="s">
        <v>212</v>
      </c>
      <c r="C140" s="17">
        <v>701071</v>
      </c>
      <c r="D140" s="352"/>
      <c r="E140" s="17"/>
      <c r="F140" s="17"/>
      <c r="G140" s="17"/>
      <c r="H140" s="17"/>
    </row>
    <row r="141" spans="1:8" ht="37.5" customHeight="1" x14ac:dyDescent="0.2">
      <c r="A141" s="414" t="s">
        <v>586</v>
      </c>
      <c r="B141" s="414"/>
      <c r="D141" s="361"/>
    </row>
    <row r="142" spans="1:8" x14ac:dyDescent="0.2">
      <c r="D142" s="361"/>
    </row>
    <row r="143" spans="1:8" x14ac:dyDescent="0.2">
      <c r="D143" s="32"/>
    </row>
  </sheetData>
  <mergeCells count="1">
    <mergeCell ref="A141:B1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05"/>
  <sheetViews>
    <sheetView topLeftCell="A56" zoomScale="80" zoomScaleNormal="80" workbookViewId="0">
      <selection activeCell="K64" sqref="K64"/>
    </sheetView>
  </sheetViews>
  <sheetFormatPr defaultColWidth="9.140625" defaultRowHeight="18.75" x14ac:dyDescent="0.2"/>
  <cols>
    <col min="1" max="1" width="9.5703125" style="180" customWidth="1"/>
    <col min="2" max="2" width="50.28515625" style="180" customWidth="1"/>
    <col min="3" max="3" width="13.5703125" style="180" customWidth="1"/>
    <col min="4" max="4" width="15.5703125" style="288" customWidth="1"/>
    <col min="5" max="5" width="16.42578125" style="288" customWidth="1"/>
    <col min="6" max="7" width="15.5703125" style="180" bestFit="1" customWidth="1"/>
    <col min="8" max="8" width="16.85546875" style="180" bestFit="1" customWidth="1"/>
    <col min="9" max="10" width="15.85546875" style="289" bestFit="1" customWidth="1"/>
    <col min="11" max="11" width="72.42578125" style="289" customWidth="1"/>
    <col min="12" max="16384" width="9.140625" style="180"/>
  </cols>
  <sheetData>
    <row r="1" spans="1:11" ht="75" x14ac:dyDescent="0.2">
      <c r="A1" s="178" t="s">
        <v>0</v>
      </c>
      <c r="B1" s="179" t="s">
        <v>283</v>
      </c>
      <c r="C1" s="110" t="s">
        <v>663</v>
      </c>
      <c r="D1" s="110" t="s">
        <v>605</v>
      </c>
      <c r="E1" s="110" t="s">
        <v>606</v>
      </c>
      <c r="F1" s="110" t="s">
        <v>607</v>
      </c>
      <c r="G1" s="110" t="s">
        <v>608</v>
      </c>
      <c r="H1" s="110" t="s">
        <v>609</v>
      </c>
      <c r="I1" s="113" t="s">
        <v>610</v>
      </c>
      <c r="J1" s="146" t="s">
        <v>611</v>
      </c>
      <c r="K1" s="113" t="s">
        <v>419</v>
      </c>
    </row>
    <row r="2" spans="1:11" x14ac:dyDescent="0.2">
      <c r="A2" s="142">
        <v>1</v>
      </c>
      <c r="B2" s="181">
        <v>2</v>
      </c>
      <c r="C2" s="181">
        <v>3</v>
      </c>
      <c r="D2" s="181">
        <v>4</v>
      </c>
      <c r="E2" s="181">
        <v>5</v>
      </c>
      <c r="F2" s="182">
        <v>6</v>
      </c>
      <c r="G2" s="182">
        <v>7</v>
      </c>
      <c r="H2" s="182">
        <v>8</v>
      </c>
      <c r="I2" s="183">
        <v>9</v>
      </c>
      <c r="J2" s="183">
        <v>10</v>
      </c>
      <c r="K2" s="183">
        <v>11</v>
      </c>
    </row>
    <row r="3" spans="1:11" ht="19.5" x14ac:dyDescent="0.2">
      <c r="A3" s="184" t="s">
        <v>282</v>
      </c>
      <c r="B3" s="185" t="s">
        <v>472</v>
      </c>
      <c r="C3" s="186" t="s">
        <v>217</v>
      </c>
      <c r="D3" s="186" t="s">
        <v>217</v>
      </c>
      <c r="E3" s="186" t="s">
        <v>217</v>
      </c>
      <c r="F3" s="187" t="s">
        <v>217</v>
      </c>
      <c r="G3" s="188" t="s">
        <v>217</v>
      </c>
      <c r="H3" s="188" t="s">
        <v>217</v>
      </c>
      <c r="I3" s="189" t="s">
        <v>217</v>
      </c>
      <c r="J3" s="190" t="s">
        <v>217</v>
      </c>
      <c r="K3" s="190" t="s">
        <v>217</v>
      </c>
    </row>
    <row r="4" spans="1:11" ht="75" x14ac:dyDescent="0.2">
      <c r="A4" s="191" t="s">
        <v>281</v>
      </c>
      <c r="B4" s="192" t="s">
        <v>473</v>
      </c>
      <c r="C4" s="193" t="s">
        <v>217</v>
      </c>
      <c r="D4" s="193" t="s">
        <v>217</v>
      </c>
      <c r="E4" s="193" t="s">
        <v>217</v>
      </c>
      <c r="F4" s="194" t="s">
        <v>217</v>
      </c>
      <c r="G4" s="194" t="s">
        <v>217</v>
      </c>
      <c r="H4" s="194" t="s">
        <v>217</v>
      </c>
      <c r="I4" s="195" t="s">
        <v>217</v>
      </c>
      <c r="J4" s="195" t="s">
        <v>217</v>
      </c>
      <c r="K4" s="195" t="s">
        <v>217</v>
      </c>
    </row>
    <row r="5" spans="1:11" ht="37.5" x14ac:dyDescent="0.2">
      <c r="A5" s="196" t="s">
        <v>280</v>
      </c>
      <c r="B5" s="197" t="s">
        <v>474</v>
      </c>
      <c r="C5" s="198">
        <v>30604</v>
      </c>
      <c r="D5" s="198">
        <v>24530</v>
      </c>
      <c r="E5" s="198">
        <v>5578</v>
      </c>
      <c r="F5" s="199">
        <v>12587</v>
      </c>
      <c r="G5" s="199">
        <v>20415</v>
      </c>
      <c r="H5" s="199">
        <v>25265</v>
      </c>
      <c r="I5" s="200">
        <f t="shared" ref="I5:I10" si="0">H5-D5</f>
        <v>735</v>
      </c>
      <c r="J5" s="201">
        <f>IFERROR(I5/ABS(D5), "-")</f>
        <v>2.9963310232368527E-2</v>
      </c>
      <c r="K5" s="202"/>
    </row>
    <row r="6" spans="1:11" ht="75" x14ac:dyDescent="0.2">
      <c r="A6" s="196" t="s">
        <v>279</v>
      </c>
      <c r="B6" s="203" t="s">
        <v>510</v>
      </c>
      <c r="C6" s="204">
        <v>27068</v>
      </c>
      <c r="D6" s="204">
        <v>21413</v>
      </c>
      <c r="E6" s="204">
        <v>4810</v>
      </c>
      <c r="F6" s="205">
        <v>11032</v>
      </c>
      <c r="G6" s="205">
        <v>17944</v>
      </c>
      <c r="H6" s="205">
        <v>22055</v>
      </c>
      <c r="I6" s="200">
        <f t="shared" si="0"/>
        <v>642</v>
      </c>
      <c r="J6" s="201">
        <f t="shared" ref="J6:J14" si="1">IFERROR(I6/ABS(D6), "-")</f>
        <v>2.998178676504927E-2</v>
      </c>
      <c r="K6" s="202"/>
    </row>
    <row r="7" spans="1:11" ht="37.5" x14ac:dyDescent="0.2">
      <c r="A7" s="196" t="s">
        <v>278</v>
      </c>
      <c r="B7" s="203" t="s">
        <v>511</v>
      </c>
      <c r="C7" s="296">
        <v>3536</v>
      </c>
      <c r="D7" s="296">
        <v>3117</v>
      </c>
      <c r="E7" s="296">
        <v>768</v>
      </c>
      <c r="F7" s="104">
        <v>1555</v>
      </c>
      <c r="G7" s="104">
        <v>2471</v>
      </c>
      <c r="H7" s="104">
        <v>3210</v>
      </c>
      <c r="I7" s="200">
        <f t="shared" si="0"/>
        <v>93</v>
      </c>
      <c r="J7" s="201">
        <f t="shared" si="1"/>
        <v>2.9836381135707413E-2</v>
      </c>
      <c r="K7" s="202"/>
    </row>
    <row r="8" spans="1:11" ht="56.25" hidden="1" x14ac:dyDescent="0.2">
      <c r="A8" s="196" t="s">
        <v>277</v>
      </c>
      <c r="B8" s="203" t="s">
        <v>512</v>
      </c>
      <c r="C8" s="297">
        <v>0</v>
      </c>
      <c r="D8" s="297"/>
      <c r="E8" s="297"/>
      <c r="F8" s="298"/>
      <c r="G8" s="298"/>
      <c r="H8" s="298"/>
      <c r="I8" s="200">
        <f t="shared" si="0"/>
        <v>0</v>
      </c>
      <c r="J8" s="201" t="str">
        <f t="shared" si="1"/>
        <v>-</v>
      </c>
      <c r="K8" s="202"/>
    </row>
    <row r="9" spans="1:11" ht="56.25" hidden="1" x14ac:dyDescent="0.2">
      <c r="A9" s="206" t="s">
        <v>276</v>
      </c>
      <c r="B9" s="207" t="s">
        <v>475</v>
      </c>
      <c r="C9" s="296"/>
      <c r="D9" s="296"/>
      <c r="E9" s="296"/>
      <c r="F9" s="104"/>
      <c r="G9" s="104"/>
      <c r="H9" s="104"/>
      <c r="I9" s="200">
        <f t="shared" si="0"/>
        <v>0</v>
      </c>
      <c r="J9" s="201" t="str">
        <f t="shared" si="1"/>
        <v>-</v>
      </c>
      <c r="K9" s="202"/>
    </row>
    <row r="10" spans="1:11" ht="37.5" hidden="1" x14ac:dyDescent="0.2">
      <c r="A10" s="206" t="s">
        <v>275</v>
      </c>
      <c r="B10" s="207" t="s">
        <v>476</v>
      </c>
      <c r="C10" s="296"/>
      <c r="D10" s="296"/>
      <c r="E10" s="296"/>
      <c r="F10" s="104"/>
      <c r="G10" s="104"/>
      <c r="H10" s="104"/>
      <c r="I10" s="200">
        <f t="shared" si="0"/>
        <v>0</v>
      </c>
      <c r="J10" s="201" t="str">
        <f t="shared" si="1"/>
        <v>-</v>
      </c>
      <c r="K10" s="202"/>
    </row>
    <row r="11" spans="1:11" ht="37.5" x14ac:dyDescent="0.2">
      <c r="A11" s="206" t="s">
        <v>477</v>
      </c>
      <c r="B11" s="208" t="s">
        <v>478</v>
      </c>
      <c r="C11" s="299">
        <v>3536</v>
      </c>
      <c r="D11" s="299">
        <v>3117</v>
      </c>
      <c r="E11" s="299">
        <v>768</v>
      </c>
      <c r="F11" s="299">
        <v>1555</v>
      </c>
      <c r="G11" s="299">
        <v>2471</v>
      </c>
      <c r="H11" s="299">
        <v>3210</v>
      </c>
      <c r="I11" s="209">
        <f>I7+I10</f>
        <v>93</v>
      </c>
      <c r="J11" s="210">
        <f t="shared" si="1"/>
        <v>2.9836381135707413E-2</v>
      </c>
      <c r="K11" s="211"/>
    </row>
    <row r="12" spans="1:11" ht="56.25" x14ac:dyDescent="0.2">
      <c r="A12" s="206" t="s">
        <v>479</v>
      </c>
      <c r="B12" s="208" t="s">
        <v>538</v>
      </c>
      <c r="C12" s="212">
        <v>0.12</v>
      </c>
      <c r="D12" s="212">
        <v>0.12709999999999999</v>
      </c>
      <c r="E12" s="212">
        <v>0.13769999999999999</v>
      </c>
      <c r="F12" s="212">
        <v>0.1235</v>
      </c>
      <c r="G12" s="212">
        <v>0.121</v>
      </c>
      <c r="H12" s="212">
        <v>0.12709999999999999</v>
      </c>
      <c r="I12" s="294">
        <f>H12-D12</f>
        <v>0</v>
      </c>
      <c r="J12" s="210">
        <f>IFERROR(I12/ABS(D12), "-")</f>
        <v>0</v>
      </c>
      <c r="K12" s="211"/>
    </row>
    <row r="13" spans="1:11" ht="22.5" hidden="1" x14ac:dyDescent="0.2">
      <c r="A13" s="206" t="s">
        <v>480</v>
      </c>
      <c r="B13" s="208" t="s">
        <v>513</v>
      </c>
      <c r="C13" s="213"/>
      <c r="D13" s="213"/>
      <c r="E13" s="213"/>
      <c r="F13" s="213"/>
      <c r="G13" s="213"/>
      <c r="H13" s="213"/>
      <c r="I13" s="200">
        <f t="shared" ref="I13" si="2">H13-D13</f>
        <v>0</v>
      </c>
      <c r="J13" s="210" t="str">
        <f t="shared" si="1"/>
        <v>-</v>
      </c>
      <c r="K13" s="211"/>
    </row>
    <row r="14" spans="1:11" ht="56.25" hidden="1" x14ac:dyDescent="0.2">
      <c r="A14" s="206" t="s">
        <v>481</v>
      </c>
      <c r="B14" s="208" t="s">
        <v>482</v>
      </c>
      <c r="C14" s="212">
        <v>0</v>
      </c>
      <c r="D14" s="212">
        <v>0</v>
      </c>
      <c r="E14" s="212">
        <v>0</v>
      </c>
      <c r="F14" s="212">
        <v>0</v>
      </c>
      <c r="G14" s="212">
        <v>0</v>
      </c>
      <c r="H14" s="212">
        <v>0</v>
      </c>
      <c r="I14" s="294">
        <f t="shared" ref="I14" si="3">H14-D14</f>
        <v>0</v>
      </c>
      <c r="J14" s="210" t="str">
        <f t="shared" si="1"/>
        <v>-</v>
      </c>
      <c r="K14" s="211"/>
    </row>
    <row r="15" spans="1:11" ht="19.5" x14ac:dyDescent="0.2">
      <c r="A15" s="191" t="s">
        <v>274</v>
      </c>
      <c r="B15" s="214" t="s">
        <v>483</v>
      </c>
      <c r="C15" s="215" t="s">
        <v>217</v>
      </c>
      <c r="D15" s="215" t="s">
        <v>217</v>
      </c>
      <c r="E15" s="215"/>
      <c r="F15" s="216"/>
      <c r="G15" s="194"/>
      <c r="H15" s="194"/>
      <c r="I15" s="217" t="s">
        <v>217</v>
      </c>
      <c r="J15" s="195" t="s">
        <v>217</v>
      </c>
      <c r="K15" s="195" t="s">
        <v>217</v>
      </c>
    </row>
    <row r="16" spans="1:11" x14ac:dyDescent="0.2">
      <c r="A16" s="218" t="s">
        <v>273</v>
      </c>
      <c r="B16" s="219" t="s">
        <v>272</v>
      </c>
      <c r="C16" s="93">
        <v>200</v>
      </c>
      <c r="D16" s="93">
        <v>199</v>
      </c>
      <c r="E16" s="93">
        <v>203</v>
      </c>
      <c r="F16" s="4">
        <v>206</v>
      </c>
      <c r="G16" s="4">
        <v>196</v>
      </c>
      <c r="H16" s="4">
        <v>204</v>
      </c>
      <c r="I16" s="220">
        <f t="shared" ref="I16:I30" si="4">H16-D16</f>
        <v>5</v>
      </c>
      <c r="J16" s="201">
        <f t="shared" ref="J16:J30" si="5">IFERROR(I16/ABS(D16), "-")</f>
        <v>2.5125628140703519E-2</v>
      </c>
      <c r="K16" s="26"/>
    </row>
    <row r="17" spans="1:11" x14ac:dyDescent="0.2">
      <c r="A17" s="218" t="s">
        <v>350</v>
      </c>
      <c r="B17" s="221" t="s">
        <v>484</v>
      </c>
      <c r="C17" s="94">
        <v>45100</v>
      </c>
      <c r="D17" s="94">
        <v>38179</v>
      </c>
      <c r="E17" s="94">
        <v>10976</v>
      </c>
      <c r="F17" s="4">
        <v>19522</v>
      </c>
      <c r="G17" s="4">
        <v>30128</v>
      </c>
      <c r="H17" s="20">
        <v>39324</v>
      </c>
      <c r="I17" s="220">
        <f t="shared" si="4"/>
        <v>1145</v>
      </c>
      <c r="J17" s="201">
        <f t="shared" si="5"/>
        <v>2.9990308808507296E-2</v>
      </c>
      <c r="K17" s="25"/>
    </row>
    <row r="18" spans="1:11" ht="37.5" x14ac:dyDescent="0.2">
      <c r="A18" s="222" t="s">
        <v>284</v>
      </c>
      <c r="B18" s="223" t="s">
        <v>485</v>
      </c>
      <c r="C18" s="224">
        <v>399</v>
      </c>
      <c r="D18" s="233">
        <v>462.79</v>
      </c>
      <c r="E18" s="292">
        <v>472</v>
      </c>
      <c r="F18" s="301">
        <v>517</v>
      </c>
      <c r="G18" s="301">
        <v>504</v>
      </c>
      <c r="H18" s="301">
        <v>527</v>
      </c>
      <c r="I18" s="226">
        <f t="shared" si="4"/>
        <v>64.20999999999998</v>
      </c>
      <c r="J18" s="227">
        <f t="shared" si="5"/>
        <v>0.13874543529462602</v>
      </c>
      <c r="K18" s="376" t="s">
        <v>601</v>
      </c>
    </row>
    <row r="19" spans="1:11" ht="37.5" x14ac:dyDescent="0.2">
      <c r="A19" s="222" t="s">
        <v>285</v>
      </c>
      <c r="B19" s="223" t="s">
        <v>486</v>
      </c>
      <c r="C19" s="224">
        <v>428</v>
      </c>
      <c r="D19" s="233">
        <v>464</v>
      </c>
      <c r="E19" s="292">
        <v>447</v>
      </c>
      <c r="F19" s="301">
        <v>494</v>
      </c>
      <c r="G19" s="301">
        <v>488</v>
      </c>
      <c r="H19" s="377">
        <v>522</v>
      </c>
      <c r="I19" s="226">
        <f t="shared" si="4"/>
        <v>58</v>
      </c>
      <c r="J19" s="227">
        <f t="shared" si="5"/>
        <v>0.125</v>
      </c>
      <c r="K19" s="376" t="s">
        <v>601</v>
      </c>
    </row>
    <row r="20" spans="1:11" ht="41.25" x14ac:dyDescent="0.2">
      <c r="A20" s="218" t="s">
        <v>271</v>
      </c>
      <c r="B20" s="228" t="s">
        <v>514</v>
      </c>
      <c r="C20" s="93">
        <v>7246</v>
      </c>
      <c r="D20" s="93">
        <v>6250</v>
      </c>
      <c r="E20" s="93">
        <v>1853</v>
      </c>
      <c r="F20" s="4">
        <v>3303</v>
      </c>
      <c r="G20" s="4">
        <v>5077.9000000000005</v>
      </c>
      <c r="H20" s="20">
        <v>6438</v>
      </c>
      <c r="I20" s="220">
        <f t="shared" si="4"/>
        <v>188</v>
      </c>
      <c r="J20" s="201">
        <f t="shared" si="5"/>
        <v>3.0079999999999999E-2</v>
      </c>
      <c r="K20" s="25"/>
    </row>
    <row r="21" spans="1:11" ht="41.25" x14ac:dyDescent="0.2">
      <c r="A21" s="229" t="s">
        <v>348</v>
      </c>
      <c r="B21" s="230" t="s">
        <v>539</v>
      </c>
      <c r="C21" s="93">
        <v>6771</v>
      </c>
      <c r="D21" s="93">
        <v>5972</v>
      </c>
      <c r="E21" s="93">
        <v>1753</v>
      </c>
      <c r="F21" s="4">
        <v>3149</v>
      </c>
      <c r="G21" s="4">
        <v>4847</v>
      </c>
      <c r="H21" s="20">
        <v>6151</v>
      </c>
      <c r="I21" s="220">
        <f t="shared" si="4"/>
        <v>179</v>
      </c>
      <c r="J21" s="201">
        <f t="shared" si="5"/>
        <v>2.9973208305425318E-2</v>
      </c>
      <c r="K21" s="295"/>
    </row>
    <row r="22" spans="1:11" ht="41.25" x14ac:dyDescent="0.2">
      <c r="A22" s="218" t="s">
        <v>270</v>
      </c>
      <c r="B22" s="219" t="s">
        <v>515</v>
      </c>
      <c r="C22" s="93">
        <v>3709</v>
      </c>
      <c r="D22" s="93">
        <v>3133</v>
      </c>
      <c r="E22" s="93">
        <v>1085</v>
      </c>
      <c r="F22" s="4">
        <v>1748</v>
      </c>
      <c r="G22" s="4">
        <v>2606.9000000000005</v>
      </c>
      <c r="H22" s="20">
        <v>3228</v>
      </c>
      <c r="I22" s="220">
        <f t="shared" si="4"/>
        <v>95</v>
      </c>
      <c r="J22" s="201">
        <f t="shared" si="5"/>
        <v>3.032237472071497E-2</v>
      </c>
      <c r="K22" s="331"/>
    </row>
    <row r="23" spans="1:11" ht="41.25" x14ac:dyDescent="0.2">
      <c r="A23" s="229" t="s">
        <v>349</v>
      </c>
      <c r="B23" s="230" t="s">
        <v>540</v>
      </c>
      <c r="C23" s="93">
        <v>3257</v>
      </c>
      <c r="D23" s="93">
        <v>2867</v>
      </c>
      <c r="E23" s="93">
        <v>988</v>
      </c>
      <c r="F23" s="4">
        <v>1599</v>
      </c>
      <c r="G23" s="4">
        <v>2383</v>
      </c>
      <c r="H23" s="20">
        <v>2953</v>
      </c>
      <c r="I23" s="220">
        <f t="shared" si="4"/>
        <v>86</v>
      </c>
      <c r="J23" s="201">
        <f t="shared" si="5"/>
        <v>2.9996512033484479E-2</v>
      </c>
      <c r="K23" s="331"/>
    </row>
    <row r="24" spans="1:11" ht="41.25" x14ac:dyDescent="0.2">
      <c r="A24" s="229" t="s">
        <v>487</v>
      </c>
      <c r="B24" s="228" t="s">
        <v>516</v>
      </c>
      <c r="C24" s="300">
        <v>3536</v>
      </c>
      <c r="D24" s="300">
        <v>3117</v>
      </c>
      <c r="E24" s="300">
        <v>768</v>
      </c>
      <c r="F24" s="301">
        <v>1555</v>
      </c>
      <c r="G24" s="301">
        <v>2471</v>
      </c>
      <c r="H24" s="21">
        <v>3210</v>
      </c>
      <c r="I24" s="220">
        <f t="shared" si="4"/>
        <v>93</v>
      </c>
      <c r="J24" s="201">
        <f t="shared" si="5"/>
        <v>2.9836381135707413E-2</v>
      </c>
      <c r="K24" s="25"/>
    </row>
    <row r="25" spans="1:11" ht="41.25" x14ac:dyDescent="0.2">
      <c r="A25" s="229" t="s">
        <v>488</v>
      </c>
      <c r="B25" s="230" t="s">
        <v>541</v>
      </c>
      <c r="C25" s="93">
        <v>3514</v>
      </c>
      <c r="D25" s="93">
        <v>3105</v>
      </c>
      <c r="E25" s="93">
        <v>765</v>
      </c>
      <c r="F25" s="4">
        <v>1550</v>
      </c>
      <c r="G25" s="4">
        <v>2464</v>
      </c>
      <c r="H25" s="20">
        <v>3198</v>
      </c>
      <c r="I25" s="220">
        <f t="shared" si="4"/>
        <v>93</v>
      </c>
      <c r="J25" s="201">
        <f t="shared" si="5"/>
        <v>2.9951690821256038E-2</v>
      </c>
      <c r="K25" s="25"/>
    </row>
    <row r="26" spans="1:11" ht="60" hidden="1" x14ac:dyDescent="0.2">
      <c r="A26" s="218" t="s">
        <v>269</v>
      </c>
      <c r="B26" s="208" t="s">
        <v>588</v>
      </c>
      <c r="C26" s="231"/>
      <c r="D26" s="231"/>
      <c r="E26" s="231"/>
      <c r="F26" s="4"/>
      <c r="G26" s="4"/>
      <c r="H26" s="20"/>
      <c r="I26" s="220">
        <f t="shared" si="4"/>
        <v>0</v>
      </c>
      <c r="J26" s="201" t="str">
        <f t="shared" si="5"/>
        <v>-</v>
      </c>
      <c r="K26" s="25"/>
    </row>
    <row r="27" spans="1:11" ht="69.75" customHeight="1" x14ac:dyDescent="0.2">
      <c r="A27" s="218" t="s">
        <v>268</v>
      </c>
      <c r="B27" s="208" t="s">
        <v>589</v>
      </c>
      <c r="C27" s="231">
        <v>77</v>
      </c>
      <c r="D27" s="231">
        <v>71</v>
      </c>
      <c r="E27" s="231">
        <v>21</v>
      </c>
      <c r="F27" s="4">
        <v>36</v>
      </c>
      <c r="G27" s="4">
        <v>55</v>
      </c>
      <c r="H27" s="20">
        <v>69</v>
      </c>
      <c r="I27" s="220">
        <f t="shared" si="4"/>
        <v>-2</v>
      </c>
      <c r="J27" s="201">
        <f t="shared" si="5"/>
        <v>-2.8169014084507043E-2</v>
      </c>
      <c r="K27" s="25"/>
    </row>
    <row r="28" spans="1:11" ht="37.5" x14ac:dyDescent="0.2">
      <c r="A28" s="218" t="s">
        <v>267</v>
      </c>
      <c r="B28" s="208" t="s">
        <v>335</v>
      </c>
      <c r="C28" s="231">
        <v>12703</v>
      </c>
      <c r="D28" s="231">
        <v>11425</v>
      </c>
      <c r="E28" s="231">
        <v>2950</v>
      </c>
      <c r="F28" s="4">
        <v>5651</v>
      </c>
      <c r="G28" s="4">
        <v>8977</v>
      </c>
      <c r="H28" s="20">
        <v>11768</v>
      </c>
      <c r="I28" s="220">
        <f t="shared" si="4"/>
        <v>343</v>
      </c>
      <c r="J28" s="201">
        <f t="shared" si="5"/>
        <v>3.0021881838074398E-2</v>
      </c>
      <c r="K28" s="25"/>
    </row>
    <row r="29" spans="1:11" ht="37.5" x14ac:dyDescent="0.2">
      <c r="A29" s="222" t="s">
        <v>266</v>
      </c>
      <c r="B29" s="223" t="s">
        <v>336</v>
      </c>
      <c r="C29" s="232">
        <v>6.2</v>
      </c>
      <c r="D29" s="232">
        <v>6.1</v>
      </c>
      <c r="E29" s="232">
        <v>6.15</v>
      </c>
      <c r="F29" s="233">
        <v>5.97</v>
      </c>
      <c r="G29" s="233">
        <v>6.09</v>
      </c>
      <c r="H29" s="234">
        <v>6.04</v>
      </c>
      <c r="I29" s="235">
        <f t="shared" si="4"/>
        <v>-5.9999999999999609E-2</v>
      </c>
      <c r="J29" s="227">
        <f t="shared" si="5"/>
        <v>-9.8360655737704285E-3</v>
      </c>
      <c r="K29" s="236"/>
    </row>
    <row r="30" spans="1:11" ht="37.5" x14ac:dyDescent="0.2">
      <c r="A30" s="222" t="s">
        <v>265</v>
      </c>
      <c r="B30" s="223" t="s">
        <v>542</v>
      </c>
      <c r="C30" s="232">
        <v>64.13</v>
      </c>
      <c r="D30" s="232">
        <v>52.23</v>
      </c>
      <c r="E30" s="232">
        <v>57.35</v>
      </c>
      <c r="F30" s="233">
        <v>52.81</v>
      </c>
      <c r="G30" s="233">
        <v>56.29</v>
      </c>
      <c r="H30" s="234">
        <v>53.8</v>
      </c>
      <c r="I30" s="235">
        <f t="shared" si="4"/>
        <v>1.5700000000000003</v>
      </c>
      <c r="J30" s="227">
        <f t="shared" si="5"/>
        <v>3.0059352862339659E-2</v>
      </c>
      <c r="K30" s="236"/>
    </row>
    <row r="31" spans="1:11" ht="19.5" x14ac:dyDescent="0.2">
      <c r="A31" s="237" t="s">
        <v>264</v>
      </c>
      <c r="B31" s="238" t="s">
        <v>489</v>
      </c>
      <c r="C31" s="239" t="s">
        <v>217</v>
      </c>
      <c r="D31" s="239" t="s">
        <v>217</v>
      </c>
      <c r="E31" s="239"/>
      <c r="F31" s="216"/>
      <c r="G31" s="194"/>
      <c r="H31" s="194"/>
      <c r="I31" s="217" t="s">
        <v>217</v>
      </c>
      <c r="J31" s="195" t="s">
        <v>217</v>
      </c>
      <c r="K31" s="195" t="s">
        <v>217</v>
      </c>
    </row>
    <row r="32" spans="1:11" x14ac:dyDescent="0.2">
      <c r="A32" s="222" t="s">
        <v>262</v>
      </c>
      <c r="B32" s="223" t="s">
        <v>490</v>
      </c>
      <c r="C32" s="240">
        <v>120816.6</v>
      </c>
      <c r="D32" s="240">
        <v>96912</v>
      </c>
      <c r="E32" s="240">
        <v>27268</v>
      </c>
      <c r="F32" s="241">
        <v>47345</v>
      </c>
      <c r="G32" s="241">
        <v>77640</v>
      </c>
      <c r="H32" s="242">
        <v>99819</v>
      </c>
      <c r="I32" s="220">
        <f t="shared" ref="I32:I40" si="6">H32-D32</f>
        <v>2907</v>
      </c>
      <c r="J32" s="201">
        <f t="shared" ref="J32:J40" si="7">IFERROR(I32/ABS(D32), "-")</f>
        <v>2.9996285289747401E-2</v>
      </c>
      <c r="K32" s="25"/>
    </row>
    <row r="33" spans="1:11" x14ac:dyDescent="0.2">
      <c r="A33" s="218" t="s">
        <v>337</v>
      </c>
      <c r="B33" s="243" t="s">
        <v>491</v>
      </c>
      <c r="C33" s="94">
        <v>98349.6</v>
      </c>
      <c r="D33" s="94">
        <v>79167</v>
      </c>
      <c r="E33" s="94">
        <v>21720</v>
      </c>
      <c r="F33" s="22">
        <v>38982</v>
      </c>
      <c r="G33" s="22">
        <v>63511</v>
      </c>
      <c r="H33" s="16">
        <v>81542</v>
      </c>
      <c r="I33" s="220">
        <f t="shared" si="6"/>
        <v>2375</v>
      </c>
      <c r="J33" s="201">
        <f t="shared" si="7"/>
        <v>2.9999873684742381E-2</v>
      </c>
      <c r="K33" s="25"/>
    </row>
    <row r="34" spans="1:11" x14ac:dyDescent="0.2">
      <c r="A34" s="218" t="s">
        <v>338</v>
      </c>
      <c r="B34" s="244" t="s">
        <v>263</v>
      </c>
      <c r="C34" s="94">
        <v>741.6</v>
      </c>
      <c r="D34" s="94">
        <v>465</v>
      </c>
      <c r="E34" s="94">
        <v>172</v>
      </c>
      <c r="F34" s="22">
        <v>250</v>
      </c>
      <c r="G34" s="22">
        <v>381</v>
      </c>
      <c r="H34" s="16">
        <v>470</v>
      </c>
      <c r="I34" s="220">
        <f t="shared" si="6"/>
        <v>5</v>
      </c>
      <c r="J34" s="201">
        <f t="shared" si="7"/>
        <v>1.0752688172043012E-2</v>
      </c>
      <c r="K34" s="331"/>
    </row>
    <row r="35" spans="1:11" x14ac:dyDescent="0.2">
      <c r="A35" s="218" t="s">
        <v>339</v>
      </c>
      <c r="B35" s="243" t="s">
        <v>492</v>
      </c>
      <c r="C35" s="94">
        <v>22467</v>
      </c>
      <c r="D35" s="94">
        <v>17745</v>
      </c>
      <c r="E35" s="94">
        <v>5548</v>
      </c>
      <c r="F35" s="22">
        <v>8363</v>
      </c>
      <c r="G35" s="22">
        <v>14129</v>
      </c>
      <c r="H35" s="16">
        <v>18277</v>
      </c>
      <c r="I35" s="220">
        <f t="shared" si="6"/>
        <v>532</v>
      </c>
      <c r="J35" s="201">
        <f t="shared" si="7"/>
        <v>2.9980276134122286E-2</v>
      </c>
      <c r="K35" s="331"/>
    </row>
    <row r="36" spans="1:11" hidden="1" x14ac:dyDescent="0.2">
      <c r="A36" s="218" t="s">
        <v>340</v>
      </c>
      <c r="B36" s="244" t="s">
        <v>263</v>
      </c>
      <c r="C36" s="94">
        <v>0</v>
      </c>
      <c r="D36" s="94">
        <v>0</v>
      </c>
      <c r="E36" s="94">
        <v>0</v>
      </c>
      <c r="F36" s="22">
        <v>0</v>
      </c>
      <c r="G36" s="22">
        <v>0</v>
      </c>
      <c r="H36" s="16">
        <v>0</v>
      </c>
      <c r="I36" s="220">
        <f t="shared" si="6"/>
        <v>0</v>
      </c>
      <c r="J36" s="201" t="str">
        <f t="shared" si="7"/>
        <v>-</v>
      </c>
      <c r="K36" s="331"/>
    </row>
    <row r="37" spans="1:11" hidden="1" x14ac:dyDescent="0.2">
      <c r="A37" s="218" t="s">
        <v>342</v>
      </c>
      <c r="B37" s="221" t="s">
        <v>347</v>
      </c>
      <c r="C37" s="94"/>
      <c r="D37" s="94"/>
      <c r="E37" s="94"/>
      <c r="F37" s="22"/>
      <c r="G37" s="22"/>
      <c r="H37" s="16"/>
      <c r="I37" s="220">
        <f t="shared" si="6"/>
        <v>0</v>
      </c>
      <c r="J37" s="201" t="str">
        <f t="shared" si="7"/>
        <v>-</v>
      </c>
      <c r="K37" s="331"/>
    </row>
    <row r="38" spans="1:11" ht="37.5" hidden="1" x14ac:dyDescent="0.2">
      <c r="A38" s="218" t="s">
        <v>343</v>
      </c>
      <c r="B38" s="221" t="s">
        <v>543</v>
      </c>
      <c r="C38" s="94"/>
      <c r="D38" s="94"/>
      <c r="E38" s="94"/>
      <c r="F38" s="22"/>
      <c r="G38" s="22"/>
      <c r="H38" s="16"/>
      <c r="I38" s="220">
        <f t="shared" si="6"/>
        <v>0</v>
      </c>
      <c r="J38" s="201" t="str">
        <f t="shared" si="7"/>
        <v>-</v>
      </c>
      <c r="K38" s="331"/>
    </row>
    <row r="39" spans="1:11" ht="22.5" x14ac:dyDescent="0.2">
      <c r="A39" s="218" t="s">
        <v>341</v>
      </c>
      <c r="B39" s="223" t="s">
        <v>590</v>
      </c>
      <c r="C39" s="232">
        <v>6138.6</v>
      </c>
      <c r="D39" s="232">
        <v>5431</v>
      </c>
      <c r="E39" s="232">
        <v>1146</v>
      </c>
      <c r="F39" s="22">
        <v>2729</v>
      </c>
      <c r="G39" s="22">
        <v>4610</v>
      </c>
      <c r="H39" s="16">
        <v>5540</v>
      </c>
      <c r="I39" s="220">
        <f t="shared" si="6"/>
        <v>109</v>
      </c>
      <c r="J39" s="201">
        <f t="shared" si="7"/>
        <v>2.0069968698213956E-2</v>
      </c>
      <c r="K39" s="331"/>
    </row>
    <row r="40" spans="1:11" ht="36.75" customHeight="1" x14ac:dyDescent="0.2">
      <c r="A40" s="245" t="s">
        <v>358</v>
      </c>
      <c r="B40" s="246" t="s">
        <v>360</v>
      </c>
      <c r="C40" s="247">
        <v>732.6</v>
      </c>
      <c r="D40" s="247">
        <v>442</v>
      </c>
      <c r="E40" s="247">
        <v>156</v>
      </c>
      <c r="F40" s="23">
        <v>228</v>
      </c>
      <c r="G40" s="22">
        <v>378</v>
      </c>
      <c r="H40" s="16">
        <v>446</v>
      </c>
      <c r="I40" s="248">
        <f t="shared" si="6"/>
        <v>4</v>
      </c>
      <c r="J40" s="201">
        <f t="shared" si="7"/>
        <v>9.0497737556561094E-3</v>
      </c>
      <c r="K40" s="331"/>
    </row>
    <row r="41" spans="1:11" ht="19.5" hidden="1" x14ac:dyDescent="0.2">
      <c r="A41" s="184" t="s">
        <v>261</v>
      </c>
      <c r="B41" s="249" t="s">
        <v>493</v>
      </c>
      <c r="C41" s="250" t="s">
        <v>217</v>
      </c>
      <c r="D41" s="250" t="s">
        <v>217</v>
      </c>
      <c r="E41" s="250" t="s">
        <v>217</v>
      </c>
      <c r="F41" s="187" t="s">
        <v>217</v>
      </c>
      <c r="G41" s="188" t="s">
        <v>217</v>
      </c>
      <c r="H41" s="188" t="s">
        <v>217</v>
      </c>
      <c r="I41" s="189" t="s">
        <v>217</v>
      </c>
      <c r="J41" s="190" t="s">
        <v>217</v>
      </c>
      <c r="K41" s="190" t="s">
        <v>217</v>
      </c>
    </row>
    <row r="42" spans="1:11" hidden="1" x14ac:dyDescent="0.2">
      <c r="A42" s="196" t="s">
        <v>260</v>
      </c>
      <c r="B42" s="251" t="s">
        <v>253</v>
      </c>
      <c r="C42" s="157"/>
      <c r="D42" s="157"/>
      <c r="E42" s="157"/>
      <c r="F42" s="16"/>
      <c r="G42" s="16"/>
      <c r="H42" s="16"/>
      <c r="I42" s="183">
        <f t="shared" ref="I42:I46" si="8">H42-D42</f>
        <v>0</v>
      </c>
      <c r="J42" s="201" t="str">
        <f t="shared" ref="J42:J46" si="9">IFERROR(I42/ABS(D42), "-")</f>
        <v>-</v>
      </c>
      <c r="K42" s="25"/>
    </row>
    <row r="43" spans="1:11" ht="37.5" hidden="1" x14ac:dyDescent="0.2">
      <c r="A43" s="196" t="s">
        <v>259</v>
      </c>
      <c r="B43" s="251" t="s">
        <v>517</v>
      </c>
      <c r="C43" s="252"/>
      <c r="D43" s="252"/>
      <c r="E43" s="252"/>
      <c r="F43" s="30"/>
      <c r="G43" s="30"/>
      <c r="H43" s="30"/>
      <c r="I43" s="253">
        <f t="shared" si="8"/>
        <v>0</v>
      </c>
      <c r="J43" s="201" t="str">
        <f t="shared" si="9"/>
        <v>-</v>
      </c>
      <c r="K43" s="25"/>
    </row>
    <row r="44" spans="1:11" hidden="1" x14ac:dyDescent="0.2">
      <c r="A44" s="196" t="s">
        <v>258</v>
      </c>
      <c r="B44" s="251" t="s">
        <v>518</v>
      </c>
      <c r="C44" s="252"/>
      <c r="D44" s="252"/>
      <c r="E44" s="252"/>
      <c r="F44" s="30"/>
      <c r="G44" s="30"/>
      <c r="H44" s="30"/>
      <c r="I44" s="253">
        <f t="shared" si="8"/>
        <v>0</v>
      </c>
      <c r="J44" s="201" t="str">
        <f t="shared" si="9"/>
        <v>-</v>
      </c>
      <c r="K44" s="25"/>
    </row>
    <row r="45" spans="1:11" hidden="1" x14ac:dyDescent="0.2">
      <c r="A45" s="196" t="s">
        <v>257</v>
      </c>
      <c r="B45" s="251" t="s">
        <v>249</v>
      </c>
      <c r="C45" s="157"/>
      <c r="D45" s="157"/>
      <c r="E45" s="157"/>
      <c r="F45" s="16"/>
      <c r="G45" s="16"/>
      <c r="H45" s="16"/>
      <c r="I45" s="183">
        <f t="shared" si="8"/>
        <v>0</v>
      </c>
      <c r="J45" s="201" t="str">
        <f t="shared" si="9"/>
        <v>-</v>
      </c>
      <c r="K45" s="25"/>
    </row>
    <row r="46" spans="1:11" hidden="1" x14ac:dyDescent="0.2">
      <c r="A46" s="196" t="s">
        <v>256</v>
      </c>
      <c r="B46" s="251" t="s">
        <v>519</v>
      </c>
      <c r="C46" s="157"/>
      <c r="D46" s="157"/>
      <c r="E46" s="157"/>
      <c r="F46" s="16"/>
      <c r="G46" s="16"/>
      <c r="H46" s="16"/>
      <c r="I46" s="183">
        <f t="shared" si="8"/>
        <v>0</v>
      </c>
      <c r="J46" s="201" t="str">
        <f t="shared" si="9"/>
        <v>-</v>
      </c>
      <c r="K46" s="25"/>
    </row>
    <row r="47" spans="1:11" ht="19.5" hidden="1" x14ac:dyDescent="0.2">
      <c r="A47" s="184" t="s">
        <v>255</v>
      </c>
      <c r="B47" s="249" t="s">
        <v>494</v>
      </c>
      <c r="C47" s="250" t="s">
        <v>217</v>
      </c>
      <c r="D47" s="250" t="s">
        <v>217</v>
      </c>
      <c r="E47" s="250" t="s">
        <v>217</v>
      </c>
      <c r="F47" s="187" t="s">
        <v>217</v>
      </c>
      <c r="G47" s="188" t="s">
        <v>217</v>
      </c>
      <c r="H47" s="188" t="s">
        <v>217</v>
      </c>
      <c r="I47" s="189" t="s">
        <v>217</v>
      </c>
      <c r="J47" s="190" t="s">
        <v>217</v>
      </c>
      <c r="K47" s="190" t="s">
        <v>217</v>
      </c>
    </row>
    <row r="48" spans="1:11" hidden="1" x14ac:dyDescent="0.2">
      <c r="A48" s="196" t="s">
        <v>254</v>
      </c>
      <c r="B48" s="251" t="s">
        <v>253</v>
      </c>
      <c r="C48" s="157"/>
      <c r="D48" s="157"/>
      <c r="E48" s="157"/>
      <c r="F48" s="16"/>
      <c r="G48" s="16"/>
      <c r="H48" s="16"/>
      <c r="I48" s="183">
        <f t="shared" ref="I48:I52" si="10">H48-D48</f>
        <v>0</v>
      </c>
      <c r="J48" s="201" t="str">
        <f t="shared" ref="J48:J52" si="11">IFERROR(I48/ABS(D48), "-")</f>
        <v>-</v>
      </c>
      <c r="K48" s="25"/>
    </row>
    <row r="49" spans="1:11" ht="37.5" hidden="1" x14ac:dyDescent="0.2">
      <c r="A49" s="196" t="s">
        <v>252</v>
      </c>
      <c r="B49" s="251" t="s">
        <v>517</v>
      </c>
      <c r="C49" s="252"/>
      <c r="D49" s="252"/>
      <c r="E49" s="252"/>
      <c r="F49" s="30"/>
      <c r="G49" s="30"/>
      <c r="H49" s="30"/>
      <c r="I49" s="253">
        <f t="shared" si="10"/>
        <v>0</v>
      </c>
      <c r="J49" s="201" t="str">
        <f t="shared" si="11"/>
        <v>-</v>
      </c>
      <c r="K49" s="25"/>
    </row>
    <row r="50" spans="1:11" hidden="1" x14ac:dyDescent="0.2">
      <c r="A50" s="196" t="s">
        <v>251</v>
      </c>
      <c r="B50" s="251" t="s">
        <v>518</v>
      </c>
      <c r="C50" s="252"/>
      <c r="D50" s="252"/>
      <c r="E50" s="252"/>
      <c r="F50" s="30"/>
      <c r="G50" s="30"/>
      <c r="H50" s="30"/>
      <c r="I50" s="253">
        <f t="shared" si="10"/>
        <v>0</v>
      </c>
      <c r="J50" s="201" t="str">
        <f t="shared" si="11"/>
        <v>-</v>
      </c>
      <c r="K50" s="25"/>
    </row>
    <row r="51" spans="1:11" hidden="1" x14ac:dyDescent="0.2">
      <c r="A51" s="196" t="s">
        <v>250</v>
      </c>
      <c r="B51" s="251" t="s">
        <v>249</v>
      </c>
      <c r="C51" s="157"/>
      <c r="D51" s="157"/>
      <c r="E51" s="157"/>
      <c r="F51" s="16"/>
      <c r="G51" s="16"/>
      <c r="H51" s="16"/>
      <c r="I51" s="183">
        <f t="shared" si="10"/>
        <v>0</v>
      </c>
      <c r="J51" s="201" t="str">
        <f t="shared" si="11"/>
        <v>-</v>
      </c>
      <c r="K51" s="25"/>
    </row>
    <row r="52" spans="1:11" hidden="1" x14ac:dyDescent="0.2">
      <c r="A52" s="196" t="s">
        <v>248</v>
      </c>
      <c r="B52" s="251" t="s">
        <v>519</v>
      </c>
      <c r="C52" s="157"/>
      <c r="D52" s="157"/>
      <c r="E52" s="157"/>
      <c r="F52" s="16"/>
      <c r="G52" s="16"/>
      <c r="H52" s="16"/>
      <c r="I52" s="183">
        <f t="shared" si="10"/>
        <v>0</v>
      </c>
      <c r="J52" s="201" t="str">
        <f t="shared" si="11"/>
        <v>-</v>
      </c>
      <c r="K52" s="25"/>
    </row>
    <row r="53" spans="1:11" ht="19.5" x14ac:dyDescent="0.2">
      <c r="A53" s="184" t="s">
        <v>247</v>
      </c>
      <c r="B53" s="254" t="s">
        <v>495</v>
      </c>
      <c r="C53" s="255" t="s">
        <v>217</v>
      </c>
      <c r="D53" s="255" t="s">
        <v>217</v>
      </c>
      <c r="E53" s="255" t="s">
        <v>217</v>
      </c>
      <c r="F53" s="187" t="s">
        <v>217</v>
      </c>
      <c r="G53" s="188" t="s">
        <v>217</v>
      </c>
      <c r="H53" s="188" t="s">
        <v>217</v>
      </c>
      <c r="I53" s="189" t="s">
        <v>217</v>
      </c>
      <c r="J53" s="190" t="s">
        <v>217</v>
      </c>
      <c r="K53" s="190" t="s">
        <v>217</v>
      </c>
    </row>
    <row r="54" spans="1:11" ht="19.5" x14ac:dyDescent="0.2">
      <c r="A54" s="256" t="s">
        <v>246</v>
      </c>
      <c r="B54" s="257" t="s">
        <v>245</v>
      </c>
      <c r="C54" s="258">
        <v>556</v>
      </c>
      <c r="D54" s="332">
        <v>563.29999999999995</v>
      </c>
      <c r="E54" s="332">
        <v>552</v>
      </c>
      <c r="F54" s="332">
        <v>554</v>
      </c>
      <c r="G54" s="332">
        <v>556</v>
      </c>
      <c r="H54" s="332">
        <v>563</v>
      </c>
      <c r="I54" s="259">
        <f t="shared" ref="I54:I77" si="12">H54-D54</f>
        <v>-0.29999999999995453</v>
      </c>
      <c r="J54" s="119">
        <f t="shared" ref="J54:J77" si="13">IFERROR(I54/ABS(D54), "-")</f>
        <v>-5.3257589206453853E-4</v>
      </c>
      <c r="K54" s="97"/>
    </row>
    <row r="55" spans="1:11" ht="22.5" x14ac:dyDescent="0.2">
      <c r="A55" s="218" t="s">
        <v>244</v>
      </c>
      <c r="B55" s="260" t="s">
        <v>520</v>
      </c>
      <c r="C55" s="95">
        <v>105</v>
      </c>
      <c r="D55" s="333">
        <v>108</v>
      </c>
      <c r="E55" s="333">
        <v>106</v>
      </c>
      <c r="F55" s="334">
        <v>106</v>
      </c>
      <c r="G55" s="334">
        <v>107</v>
      </c>
      <c r="H55" s="334">
        <v>108.33333333333333</v>
      </c>
      <c r="I55" s="220">
        <f t="shared" si="12"/>
        <v>0.3333333333333286</v>
      </c>
      <c r="J55" s="201">
        <f t="shared" si="13"/>
        <v>3.0864197530863758E-3</v>
      </c>
      <c r="K55" s="337"/>
    </row>
    <row r="56" spans="1:11" ht="22.5" x14ac:dyDescent="0.2">
      <c r="A56" s="218" t="s">
        <v>243</v>
      </c>
      <c r="B56" s="260" t="s">
        <v>521</v>
      </c>
      <c r="C56" s="95">
        <v>188</v>
      </c>
      <c r="D56" s="333">
        <v>190</v>
      </c>
      <c r="E56" s="333">
        <v>188</v>
      </c>
      <c r="F56" s="335">
        <v>188</v>
      </c>
      <c r="G56" s="335">
        <v>188.33333333333334</v>
      </c>
      <c r="H56" s="335">
        <v>190</v>
      </c>
      <c r="I56" s="183">
        <f t="shared" si="12"/>
        <v>0</v>
      </c>
      <c r="J56" s="201">
        <f t="shared" si="13"/>
        <v>0</v>
      </c>
      <c r="K56" s="25"/>
    </row>
    <row r="57" spans="1:11" ht="41.25" x14ac:dyDescent="0.2">
      <c r="A57" s="218" t="s">
        <v>242</v>
      </c>
      <c r="B57" s="261" t="s">
        <v>522</v>
      </c>
      <c r="C57" s="96">
        <v>46</v>
      </c>
      <c r="D57" s="336">
        <v>46.3</v>
      </c>
      <c r="E57" s="336">
        <v>44</v>
      </c>
      <c r="F57" s="335">
        <v>44</v>
      </c>
      <c r="G57" s="335">
        <v>45.333333333333336</v>
      </c>
      <c r="H57" s="335">
        <v>46.1</v>
      </c>
      <c r="I57" s="183">
        <f t="shared" si="12"/>
        <v>-0.19999999999999574</v>
      </c>
      <c r="J57" s="201">
        <f t="shared" si="13"/>
        <v>-4.3196544276456967E-3</v>
      </c>
      <c r="K57" s="25"/>
    </row>
    <row r="58" spans="1:11" ht="22.5" x14ac:dyDescent="0.2">
      <c r="A58" s="218" t="s">
        <v>241</v>
      </c>
      <c r="B58" s="261" t="s">
        <v>523</v>
      </c>
      <c r="C58" s="96">
        <v>38</v>
      </c>
      <c r="D58" s="336">
        <v>35</v>
      </c>
      <c r="E58" s="336">
        <v>38</v>
      </c>
      <c r="F58" s="335">
        <v>38</v>
      </c>
      <c r="G58" s="335">
        <v>36</v>
      </c>
      <c r="H58" s="335">
        <v>35.5</v>
      </c>
      <c r="I58" s="183">
        <f t="shared" si="12"/>
        <v>0.5</v>
      </c>
      <c r="J58" s="201">
        <f t="shared" si="13"/>
        <v>1.4285714285714285E-2</v>
      </c>
      <c r="K58" s="331"/>
    </row>
    <row r="59" spans="1:11" ht="22.5" x14ac:dyDescent="0.2">
      <c r="A59" s="218" t="s">
        <v>240</v>
      </c>
      <c r="B59" s="261" t="s">
        <v>524</v>
      </c>
      <c r="C59" s="96">
        <v>179</v>
      </c>
      <c r="D59" s="336">
        <v>184</v>
      </c>
      <c r="E59" s="336">
        <v>176</v>
      </c>
      <c r="F59" s="335">
        <v>178</v>
      </c>
      <c r="G59" s="335">
        <v>179.33333333333334</v>
      </c>
      <c r="H59" s="335">
        <v>182.66666666666666</v>
      </c>
      <c r="I59" s="183">
        <f t="shared" si="12"/>
        <v>-1.3333333333333428</v>
      </c>
      <c r="J59" s="201">
        <f t="shared" si="13"/>
        <v>-7.2463768115942542E-3</v>
      </c>
      <c r="K59" s="25"/>
    </row>
    <row r="60" spans="1:11" ht="37.5" x14ac:dyDescent="0.2">
      <c r="A60" s="256" t="s">
        <v>239</v>
      </c>
      <c r="B60" s="262" t="s">
        <v>238</v>
      </c>
      <c r="C60" s="258">
        <v>1265.205035971223</v>
      </c>
      <c r="D60" s="332">
        <v>1342</v>
      </c>
      <c r="E60" s="332">
        <v>1551.6666666666667</v>
      </c>
      <c r="F60" s="332">
        <v>1603</v>
      </c>
      <c r="G60" s="332">
        <v>1660.3333333333333</v>
      </c>
      <c r="H60" s="332">
        <v>1660</v>
      </c>
      <c r="I60" s="259">
        <f>IFERROR(H60-D60, "-")</f>
        <v>318</v>
      </c>
      <c r="J60" s="119">
        <f t="shared" si="13"/>
        <v>0.23695976154992549</v>
      </c>
      <c r="K60" s="97"/>
    </row>
    <row r="61" spans="1:11" ht="22.5" x14ac:dyDescent="0.2">
      <c r="A61" s="218" t="s">
        <v>237</v>
      </c>
      <c r="B61" s="260" t="s">
        <v>520</v>
      </c>
      <c r="C61" s="95">
        <v>2205</v>
      </c>
      <c r="D61" s="333">
        <v>2226.69</v>
      </c>
      <c r="E61" s="333">
        <v>2621</v>
      </c>
      <c r="F61" s="335">
        <v>2621</v>
      </c>
      <c r="G61" s="334">
        <v>2694</v>
      </c>
      <c r="H61" s="335">
        <v>2739</v>
      </c>
      <c r="I61" s="183">
        <f t="shared" si="12"/>
        <v>512.30999999999995</v>
      </c>
      <c r="J61" s="201">
        <f t="shared" si="13"/>
        <v>0.23007693033156834</v>
      </c>
      <c r="K61" s="412" t="s">
        <v>685</v>
      </c>
    </row>
    <row r="62" spans="1:11" ht="22.5" x14ac:dyDescent="0.2">
      <c r="A62" s="218" t="s">
        <v>236</v>
      </c>
      <c r="B62" s="260" t="s">
        <v>521</v>
      </c>
      <c r="C62" s="95">
        <v>1305</v>
      </c>
      <c r="D62" s="333">
        <v>1332.1289999999999</v>
      </c>
      <c r="E62" s="333">
        <v>1617.5</v>
      </c>
      <c r="F62" s="335">
        <v>1566</v>
      </c>
      <c r="G62" s="334">
        <v>1653</v>
      </c>
      <c r="H62" s="335">
        <v>1638</v>
      </c>
      <c r="I62" s="183">
        <f t="shared" si="12"/>
        <v>305.87100000000009</v>
      </c>
      <c r="J62" s="201">
        <f t="shared" si="13"/>
        <v>0.22961064581583324</v>
      </c>
      <c r="K62" s="412" t="s">
        <v>685</v>
      </c>
    </row>
    <row r="63" spans="1:11" ht="41.25" x14ac:dyDescent="0.2">
      <c r="A63" s="218" t="s">
        <v>235</v>
      </c>
      <c r="B63" s="261" t="s">
        <v>522</v>
      </c>
      <c r="C63" s="96">
        <v>776</v>
      </c>
      <c r="D63" s="336">
        <v>783.21</v>
      </c>
      <c r="E63" s="336">
        <v>903.75</v>
      </c>
      <c r="F63" s="335">
        <v>952.5</v>
      </c>
      <c r="G63" s="334">
        <v>957</v>
      </c>
      <c r="H63" s="335">
        <v>963</v>
      </c>
      <c r="I63" s="183">
        <f t="shared" si="12"/>
        <v>179.78999999999996</v>
      </c>
      <c r="J63" s="201">
        <f t="shared" si="13"/>
        <v>0.22955529168422256</v>
      </c>
      <c r="K63" s="412" t="s">
        <v>685</v>
      </c>
    </row>
    <row r="64" spans="1:11" ht="22.5" x14ac:dyDescent="0.2">
      <c r="A64" s="218" t="s">
        <v>234</v>
      </c>
      <c r="B64" s="261" t="s">
        <v>523</v>
      </c>
      <c r="C64" s="96">
        <v>1533</v>
      </c>
      <c r="D64" s="336">
        <v>2027.423</v>
      </c>
      <c r="E64" s="336">
        <v>2379</v>
      </c>
      <c r="F64" s="335">
        <v>2233</v>
      </c>
      <c r="G64" s="334">
        <v>2297</v>
      </c>
      <c r="H64" s="335">
        <v>2311</v>
      </c>
      <c r="I64" s="183">
        <f t="shared" si="12"/>
        <v>283.577</v>
      </c>
      <c r="J64" s="201">
        <f t="shared" si="13"/>
        <v>0.13987066339880724</v>
      </c>
      <c r="K64" s="412" t="s">
        <v>686</v>
      </c>
    </row>
    <row r="65" spans="1:11" ht="22.5" x14ac:dyDescent="0.2">
      <c r="A65" s="218" t="s">
        <v>233</v>
      </c>
      <c r="B65" s="261" t="s">
        <v>524</v>
      </c>
      <c r="C65" s="96">
        <v>741</v>
      </c>
      <c r="D65" s="336">
        <v>842.41</v>
      </c>
      <c r="E65" s="336">
        <v>1020</v>
      </c>
      <c r="F65" s="335">
        <v>1003</v>
      </c>
      <c r="G65" s="334">
        <v>997</v>
      </c>
      <c r="H65" s="335">
        <v>1020</v>
      </c>
      <c r="I65" s="183">
        <f t="shared" si="12"/>
        <v>177.59000000000003</v>
      </c>
      <c r="J65" s="201">
        <f t="shared" si="13"/>
        <v>0.21081183746631693</v>
      </c>
      <c r="K65" s="412" t="s">
        <v>685</v>
      </c>
    </row>
    <row r="66" spans="1:11" ht="19.5" x14ac:dyDescent="0.2">
      <c r="A66" s="256" t="s">
        <v>232</v>
      </c>
      <c r="B66" s="257" t="s">
        <v>231</v>
      </c>
      <c r="C66" s="408">
        <v>571</v>
      </c>
      <c r="D66" s="409">
        <v>569</v>
      </c>
      <c r="E66" s="409">
        <v>563.66666666666663</v>
      </c>
      <c r="F66" s="409">
        <v>569</v>
      </c>
      <c r="G66" s="409">
        <v>570.33333333333337</v>
      </c>
      <c r="H66" s="332">
        <v>569</v>
      </c>
      <c r="I66" s="259">
        <f t="shared" si="12"/>
        <v>0</v>
      </c>
      <c r="J66" s="119">
        <f t="shared" si="13"/>
        <v>0</v>
      </c>
      <c r="K66" s="404"/>
    </row>
    <row r="67" spans="1:11" ht="22.5" x14ac:dyDescent="0.2">
      <c r="A67" s="218" t="s">
        <v>230</v>
      </c>
      <c r="B67" s="260" t="s">
        <v>520</v>
      </c>
      <c r="C67" s="95">
        <v>120</v>
      </c>
      <c r="D67" s="333">
        <v>116</v>
      </c>
      <c r="E67" s="333">
        <v>118</v>
      </c>
      <c r="F67" s="334">
        <v>116.66666666666667</v>
      </c>
      <c r="G67" s="334">
        <v>115.66666666666667</v>
      </c>
      <c r="H67" s="334">
        <v>116</v>
      </c>
      <c r="I67" s="220">
        <f t="shared" si="12"/>
        <v>0</v>
      </c>
      <c r="J67" s="201">
        <f t="shared" si="13"/>
        <v>0</v>
      </c>
      <c r="K67" s="403"/>
    </row>
    <row r="68" spans="1:11" ht="22.5" x14ac:dyDescent="0.2">
      <c r="A68" s="218" t="s">
        <v>229</v>
      </c>
      <c r="B68" s="260" t="s">
        <v>521</v>
      </c>
      <c r="C68" s="95">
        <v>181</v>
      </c>
      <c r="D68" s="333">
        <v>188</v>
      </c>
      <c r="E68" s="333">
        <v>183.66666666666666</v>
      </c>
      <c r="F68" s="335">
        <v>183.66666666666666</v>
      </c>
      <c r="G68" s="335">
        <v>182.33333333333334</v>
      </c>
      <c r="H68" s="335">
        <v>186</v>
      </c>
      <c r="I68" s="183">
        <f t="shared" si="12"/>
        <v>-2</v>
      </c>
      <c r="J68" s="201">
        <f t="shared" si="13"/>
        <v>-1.0638297872340425E-2</v>
      </c>
      <c r="K68" s="402"/>
    </row>
    <row r="69" spans="1:11" ht="41.25" x14ac:dyDescent="0.2">
      <c r="A69" s="218" t="s">
        <v>228</v>
      </c>
      <c r="B69" s="261" t="s">
        <v>522</v>
      </c>
      <c r="C69" s="96">
        <v>45</v>
      </c>
      <c r="D69" s="336">
        <v>42</v>
      </c>
      <c r="E69" s="336">
        <v>44</v>
      </c>
      <c r="F69" s="335">
        <v>44</v>
      </c>
      <c r="G69" s="335">
        <v>46</v>
      </c>
      <c r="H69" s="335">
        <v>43</v>
      </c>
      <c r="I69" s="183">
        <f t="shared" si="12"/>
        <v>1</v>
      </c>
      <c r="J69" s="201">
        <f t="shared" si="13"/>
        <v>2.3809523809523808E-2</v>
      </c>
      <c r="K69" s="402"/>
    </row>
    <row r="70" spans="1:11" ht="22.5" x14ac:dyDescent="0.2">
      <c r="A70" s="218" t="s">
        <v>227</v>
      </c>
      <c r="B70" s="261" t="s">
        <v>523</v>
      </c>
      <c r="C70" s="96">
        <v>39</v>
      </c>
      <c r="D70" s="336">
        <v>35</v>
      </c>
      <c r="E70" s="336">
        <v>38</v>
      </c>
      <c r="F70" s="335">
        <v>38</v>
      </c>
      <c r="G70" s="335">
        <v>38</v>
      </c>
      <c r="H70" s="335">
        <v>36</v>
      </c>
      <c r="I70" s="183">
        <f t="shared" si="12"/>
        <v>1</v>
      </c>
      <c r="J70" s="201">
        <f t="shared" si="13"/>
        <v>2.8571428571428571E-2</v>
      </c>
      <c r="K70" s="407"/>
    </row>
    <row r="71" spans="1:11" ht="22.5" x14ac:dyDescent="0.2">
      <c r="A71" s="218" t="s">
        <v>226</v>
      </c>
      <c r="B71" s="261" t="s">
        <v>524</v>
      </c>
      <c r="C71" s="96">
        <v>186</v>
      </c>
      <c r="D71" s="336">
        <v>188</v>
      </c>
      <c r="E71" s="336">
        <v>180</v>
      </c>
      <c r="F71" s="335">
        <v>186.66666666666666</v>
      </c>
      <c r="G71" s="335">
        <v>188.33333333333334</v>
      </c>
      <c r="H71" s="335">
        <v>188</v>
      </c>
      <c r="I71" s="183">
        <f t="shared" si="12"/>
        <v>0</v>
      </c>
      <c r="J71" s="201">
        <f t="shared" si="13"/>
        <v>0</v>
      </c>
      <c r="K71" s="402"/>
    </row>
    <row r="72" spans="1:11" ht="19.5" x14ac:dyDescent="0.2">
      <c r="A72" s="256" t="s">
        <v>225</v>
      </c>
      <c r="B72" s="257" t="s">
        <v>525</v>
      </c>
      <c r="C72" s="408">
        <v>1242.555166374781</v>
      </c>
      <c r="D72" s="409">
        <v>1328</v>
      </c>
      <c r="E72" s="409">
        <v>1504.3333333333333</v>
      </c>
      <c r="F72" s="409">
        <v>1555</v>
      </c>
      <c r="G72" s="409">
        <v>1587.6666666666667</v>
      </c>
      <c r="H72" s="409">
        <v>1634</v>
      </c>
      <c r="I72" s="410">
        <f>IFERROR(H72-D72, "-")</f>
        <v>306</v>
      </c>
      <c r="J72" s="411">
        <f t="shared" si="13"/>
        <v>0.23042168674698796</v>
      </c>
      <c r="K72" s="405"/>
    </row>
    <row r="73" spans="1:11" ht="22.5" x14ac:dyDescent="0.2">
      <c r="A73" s="218" t="s">
        <v>224</v>
      </c>
      <c r="B73" s="260" t="s">
        <v>520</v>
      </c>
      <c r="C73" s="95">
        <v>1925</v>
      </c>
      <c r="D73" s="333">
        <v>2073.125</v>
      </c>
      <c r="E73" s="333">
        <v>2526</v>
      </c>
      <c r="F73" s="334">
        <v>2568.75</v>
      </c>
      <c r="G73" s="334">
        <v>2459</v>
      </c>
      <c r="H73" s="334">
        <v>2550</v>
      </c>
      <c r="I73" s="220">
        <f t="shared" si="12"/>
        <v>476.875</v>
      </c>
      <c r="J73" s="201">
        <f t="shared" si="13"/>
        <v>0.23002713295146215</v>
      </c>
      <c r="K73" s="412" t="s">
        <v>685</v>
      </c>
    </row>
    <row r="74" spans="1:11" ht="22.5" x14ac:dyDescent="0.2">
      <c r="A74" s="218" t="s">
        <v>223</v>
      </c>
      <c r="B74" s="260" t="s">
        <v>521</v>
      </c>
      <c r="C74" s="95">
        <v>1355</v>
      </c>
      <c r="D74" s="333">
        <v>1346.3009999999999</v>
      </c>
      <c r="E74" s="333">
        <v>1660</v>
      </c>
      <c r="F74" s="335">
        <v>1620</v>
      </c>
      <c r="G74" s="335">
        <v>1636</v>
      </c>
      <c r="H74" s="335">
        <v>1656</v>
      </c>
      <c r="I74" s="183">
        <f t="shared" si="12"/>
        <v>309.69900000000007</v>
      </c>
      <c r="J74" s="201">
        <f t="shared" si="13"/>
        <v>0.23003696795887404</v>
      </c>
      <c r="K74" s="412" t="s">
        <v>685</v>
      </c>
    </row>
    <row r="75" spans="1:11" ht="41.25" x14ac:dyDescent="0.2">
      <c r="A75" s="218" t="s">
        <v>222</v>
      </c>
      <c r="B75" s="261" t="s">
        <v>522</v>
      </c>
      <c r="C75" s="96">
        <v>794</v>
      </c>
      <c r="D75" s="336">
        <v>863.39</v>
      </c>
      <c r="E75" s="336">
        <v>1038</v>
      </c>
      <c r="F75" s="335">
        <v>998</v>
      </c>
      <c r="G75" s="335">
        <v>1062</v>
      </c>
      <c r="H75" s="335">
        <v>1062</v>
      </c>
      <c r="I75" s="183">
        <f t="shared" si="12"/>
        <v>198.61</v>
      </c>
      <c r="J75" s="201">
        <f t="shared" si="13"/>
        <v>0.23003509422161481</v>
      </c>
      <c r="K75" s="412" t="s">
        <v>685</v>
      </c>
    </row>
    <row r="76" spans="1:11" ht="22.5" x14ac:dyDescent="0.2">
      <c r="A76" s="218" t="s">
        <v>221</v>
      </c>
      <c r="B76" s="261" t="s">
        <v>523</v>
      </c>
      <c r="C76" s="96">
        <v>1664</v>
      </c>
      <c r="D76" s="336">
        <v>2027</v>
      </c>
      <c r="E76" s="336">
        <v>2379</v>
      </c>
      <c r="F76" s="335">
        <v>2233</v>
      </c>
      <c r="G76" s="335">
        <v>2297</v>
      </c>
      <c r="H76" s="335">
        <v>2311</v>
      </c>
      <c r="I76" s="183">
        <f t="shared" si="12"/>
        <v>284</v>
      </c>
      <c r="J76" s="201">
        <f t="shared" si="13"/>
        <v>0.14010853478046373</v>
      </c>
      <c r="K76" s="412" t="s">
        <v>686</v>
      </c>
    </row>
    <row r="77" spans="1:11" ht="22.5" x14ac:dyDescent="0.2">
      <c r="A77" s="218" t="s">
        <v>220</v>
      </c>
      <c r="B77" s="261" t="s">
        <v>524</v>
      </c>
      <c r="C77" s="96">
        <v>713</v>
      </c>
      <c r="D77" s="336">
        <v>824.48</v>
      </c>
      <c r="E77" s="336">
        <v>1002</v>
      </c>
      <c r="F77" s="335">
        <v>950</v>
      </c>
      <c r="G77" s="335">
        <v>999</v>
      </c>
      <c r="H77" s="335">
        <v>998</v>
      </c>
      <c r="I77" s="183">
        <f t="shared" si="12"/>
        <v>173.51999999999998</v>
      </c>
      <c r="J77" s="201">
        <f t="shared" si="13"/>
        <v>0.21045992625654955</v>
      </c>
      <c r="K77" s="412" t="s">
        <v>685</v>
      </c>
    </row>
    <row r="78" spans="1:11" ht="19.5" x14ac:dyDescent="0.2">
      <c r="A78" s="263" t="s">
        <v>496</v>
      </c>
      <c r="B78" s="264" t="s">
        <v>497</v>
      </c>
      <c r="C78" s="265" t="s">
        <v>217</v>
      </c>
      <c r="D78" s="265" t="s">
        <v>217</v>
      </c>
      <c r="E78" s="265" t="s">
        <v>217</v>
      </c>
      <c r="F78" s="266" t="s">
        <v>217</v>
      </c>
      <c r="G78" s="267" t="s">
        <v>217</v>
      </c>
      <c r="H78" s="267" t="s">
        <v>217</v>
      </c>
      <c r="I78" s="268" t="s">
        <v>217</v>
      </c>
      <c r="J78" s="269" t="s">
        <v>217</v>
      </c>
      <c r="K78" s="269" t="s">
        <v>217</v>
      </c>
    </row>
    <row r="79" spans="1:11" x14ac:dyDescent="0.2">
      <c r="A79" s="218" t="s">
        <v>498</v>
      </c>
      <c r="B79" s="261" t="s">
        <v>499</v>
      </c>
      <c r="C79" s="98">
        <v>16</v>
      </c>
      <c r="D79" s="98">
        <v>16</v>
      </c>
      <c r="E79" s="98">
        <v>4</v>
      </c>
      <c r="F79" s="24">
        <v>7</v>
      </c>
      <c r="G79" s="16">
        <v>12</v>
      </c>
      <c r="H79" s="16">
        <v>16</v>
      </c>
      <c r="I79" s="270">
        <f t="shared" ref="I79:I82" si="14">H79-D79</f>
        <v>0</v>
      </c>
      <c r="J79" s="201">
        <f t="shared" ref="J79:J82" si="15">IFERROR(I79/ABS(D79), "-")</f>
        <v>0</v>
      </c>
      <c r="K79" s="407"/>
    </row>
    <row r="80" spans="1:11" ht="56.25" x14ac:dyDescent="0.2">
      <c r="A80" s="218" t="s">
        <v>500</v>
      </c>
      <c r="B80" s="261" t="s">
        <v>501</v>
      </c>
      <c r="C80" s="98">
        <v>49</v>
      </c>
      <c r="D80" s="98">
        <v>48.69</v>
      </c>
      <c r="E80" s="98">
        <v>42</v>
      </c>
      <c r="F80" s="24">
        <v>48</v>
      </c>
      <c r="G80" s="16">
        <v>48</v>
      </c>
      <c r="H80" s="16">
        <v>47</v>
      </c>
      <c r="I80" s="270">
        <f t="shared" si="14"/>
        <v>-1.6899999999999977</v>
      </c>
      <c r="J80" s="201">
        <f t="shared" si="15"/>
        <v>-3.4709385910864608E-2</v>
      </c>
      <c r="K80" s="25"/>
    </row>
    <row r="81" spans="1:11" ht="56.25" x14ac:dyDescent="0.2">
      <c r="A81" s="218" t="s">
        <v>502</v>
      </c>
      <c r="B81" s="261" t="s">
        <v>591</v>
      </c>
      <c r="C81" s="98">
        <v>23</v>
      </c>
      <c r="D81" s="98">
        <v>23</v>
      </c>
      <c r="E81" s="98">
        <v>22</v>
      </c>
      <c r="F81" s="24">
        <v>23</v>
      </c>
      <c r="G81" s="16">
        <v>23</v>
      </c>
      <c r="H81" s="16">
        <v>23</v>
      </c>
      <c r="I81" s="270">
        <f t="shared" si="14"/>
        <v>0</v>
      </c>
      <c r="J81" s="201">
        <f t="shared" si="15"/>
        <v>0</v>
      </c>
      <c r="K81" s="25"/>
    </row>
    <row r="82" spans="1:11" ht="56.25" x14ac:dyDescent="0.2">
      <c r="A82" s="218" t="s">
        <v>503</v>
      </c>
      <c r="B82" s="261" t="s">
        <v>504</v>
      </c>
      <c r="C82" s="98">
        <v>38</v>
      </c>
      <c r="D82" s="98">
        <v>39</v>
      </c>
      <c r="E82" s="98">
        <v>36</v>
      </c>
      <c r="F82" s="24">
        <v>38</v>
      </c>
      <c r="G82" s="16">
        <v>38</v>
      </c>
      <c r="H82" s="16">
        <v>39</v>
      </c>
      <c r="I82" s="270">
        <f t="shared" si="14"/>
        <v>0</v>
      </c>
      <c r="J82" s="201">
        <f t="shared" si="15"/>
        <v>0</v>
      </c>
      <c r="K82" s="25"/>
    </row>
    <row r="83" spans="1:11" ht="19.5" x14ac:dyDescent="0.2">
      <c r="A83" s="256" t="s">
        <v>219</v>
      </c>
      <c r="B83" s="257" t="s">
        <v>505</v>
      </c>
      <c r="C83" s="271" t="s">
        <v>217</v>
      </c>
      <c r="D83" s="271" t="s">
        <v>217</v>
      </c>
      <c r="E83" s="271" t="s">
        <v>217</v>
      </c>
      <c r="F83" s="187" t="s">
        <v>217</v>
      </c>
      <c r="G83" s="188" t="s">
        <v>217</v>
      </c>
      <c r="H83" s="188" t="s">
        <v>217</v>
      </c>
      <c r="I83" s="189" t="s">
        <v>217</v>
      </c>
      <c r="J83" s="190" t="s">
        <v>217</v>
      </c>
      <c r="K83" s="190" t="s">
        <v>217</v>
      </c>
    </row>
    <row r="84" spans="1:11" ht="22.5" x14ac:dyDescent="0.2">
      <c r="A84" s="222" t="s">
        <v>218</v>
      </c>
      <c r="B84" s="223" t="s">
        <v>526</v>
      </c>
      <c r="C84" s="290">
        <v>26842.3</v>
      </c>
      <c r="D84" s="290">
        <v>26842</v>
      </c>
      <c r="E84" s="290">
        <v>26842.3</v>
      </c>
      <c r="F84" s="290">
        <v>26842.3</v>
      </c>
      <c r="G84" s="290">
        <v>26842.3</v>
      </c>
      <c r="H84" s="290">
        <v>26842.3</v>
      </c>
      <c r="I84" s="272">
        <f t="shared" ref="I84:I89" si="16">H84-D84</f>
        <v>0.2999999999992724</v>
      </c>
      <c r="J84" s="227">
        <f t="shared" ref="J84:J89" si="17">IFERROR(I84/ABS(D84), "-")</f>
        <v>1.1176514417676492E-5</v>
      </c>
      <c r="K84" s="236"/>
    </row>
    <row r="85" spans="1:11" ht="37.5" x14ac:dyDescent="0.2">
      <c r="A85" s="222" t="s">
        <v>599</v>
      </c>
      <c r="B85" s="273" t="s">
        <v>361</v>
      </c>
      <c r="C85" s="291">
        <v>7361</v>
      </c>
      <c r="D85" s="291">
        <v>7361</v>
      </c>
      <c r="E85" s="291">
        <v>7361</v>
      </c>
      <c r="F85" s="291">
        <v>7361</v>
      </c>
      <c r="G85" s="291">
        <v>7361</v>
      </c>
      <c r="H85" s="291">
        <v>7361</v>
      </c>
      <c r="I85" s="272">
        <f t="shared" si="16"/>
        <v>0</v>
      </c>
      <c r="J85" s="227">
        <f>IFERROR(I85/ABS(D85), "-")</f>
        <v>0</v>
      </c>
      <c r="K85" s="236"/>
    </row>
    <row r="86" spans="1:11" ht="37.5" x14ac:dyDescent="0.2">
      <c r="A86" s="222" t="s">
        <v>598</v>
      </c>
      <c r="B86" s="274" t="s">
        <v>214</v>
      </c>
      <c r="C86" s="232">
        <v>3859670</v>
      </c>
      <c r="D86" s="292">
        <v>3890930</v>
      </c>
      <c r="E86" s="232">
        <f>1448530*1.1</f>
        <v>1593383.0000000002</v>
      </c>
      <c r="F86" s="233">
        <f>2286190*1.1</f>
        <v>2514809</v>
      </c>
      <c r="G86" s="233">
        <f>2553550*1.1</f>
        <v>2808905</v>
      </c>
      <c r="H86" s="234">
        <f>3890930*1.1</f>
        <v>4280023</v>
      </c>
      <c r="I86" s="235">
        <f t="shared" si="16"/>
        <v>389093</v>
      </c>
      <c r="J86" s="227">
        <f t="shared" si="17"/>
        <v>0.1</v>
      </c>
      <c r="K86" s="378" t="s">
        <v>668</v>
      </c>
    </row>
    <row r="87" spans="1:11" ht="37.5" x14ac:dyDescent="0.2">
      <c r="A87" s="222" t="s">
        <v>600</v>
      </c>
      <c r="B87" s="274" t="s">
        <v>213</v>
      </c>
      <c r="C87" s="232">
        <v>1832009</v>
      </c>
      <c r="D87" s="292">
        <v>1732600</v>
      </c>
      <c r="E87" s="232">
        <f>448022*1.1</f>
        <v>492824.2</v>
      </c>
      <c r="F87" s="233">
        <f>850086.45*1.1</f>
        <v>935095.09499999997</v>
      </c>
      <c r="G87" s="233">
        <f>1273524*1.1</f>
        <v>1400876.4000000001</v>
      </c>
      <c r="H87" s="234">
        <f>1732600*1.1</f>
        <v>1905860.0000000002</v>
      </c>
      <c r="I87" s="235">
        <f t="shared" si="16"/>
        <v>173260.00000000023</v>
      </c>
      <c r="J87" s="227">
        <f t="shared" si="17"/>
        <v>0.10000000000000013</v>
      </c>
      <c r="K87" s="378" t="s">
        <v>667</v>
      </c>
    </row>
    <row r="88" spans="1:11" ht="22.5" x14ac:dyDescent="0.2">
      <c r="A88" s="222" t="s">
        <v>216</v>
      </c>
      <c r="B88" s="274" t="s">
        <v>527</v>
      </c>
      <c r="C88" s="232">
        <v>18916</v>
      </c>
      <c r="D88" s="292">
        <v>18550</v>
      </c>
      <c r="E88" s="232">
        <v>4301</v>
      </c>
      <c r="F88" s="233">
        <v>8981</v>
      </c>
      <c r="G88" s="233">
        <v>13978</v>
      </c>
      <c r="H88" s="234">
        <v>18550</v>
      </c>
      <c r="I88" s="235">
        <f t="shared" si="16"/>
        <v>0</v>
      </c>
      <c r="J88" s="227">
        <f t="shared" si="17"/>
        <v>0</v>
      </c>
      <c r="K88" s="236"/>
    </row>
    <row r="89" spans="1:11" ht="22.5" x14ac:dyDescent="0.2">
      <c r="A89" s="222" t="s">
        <v>215</v>
      </c>
      <c r="B89" s="274" t="s">
        <v>528</v>
      </c>
      <c r="C89" s="232">
        <v>19966</v>
      </c>
      <c r="D89" s="292">
        <v>19854.039999999994</v>
      </c>
      <c r="E89" s="232">
        <v>4627.01</v>
      </c>
      <c r="F89" s="233">
        <v>9633.02</v>
      </c>
      <c r="G89" s="233">
        <v>14956.03</v>
      </c>
      <c r="H89" s="234">
        <v>19854.04</v>
      </c>
      <c r="I89" s="235">
        <f t="shared" si="16"/>
        <v>0</v>
      </c>
      <c r="J89" s="227">
        <f t="shared" si="17"/>
        <v>0</v>
      </c>
      <c r="K89" s="236"/>
    </row>
    <row r="90" spans="1:11" ht="37.5" x14ac:dyDescent="0.2">
      <c r="A90" s="263" t="s">
        <v>506</v>
      </c>
      <c r="B90" s="275" t="s">
        <v>507</v>
      </c>
      <c r="C90" s="276" t="s">
        <v>217</v>
      </c>
      <c r="D90" s="276" t="s">
        <v>217</v>
      </c>
      <c r="E90" s="276" t="s">
        <v>217</v>
      </c>
      <c r="F90" s="277" t="s">
        <v>217</v>
      </c>
      <c r="G90" s="277" t="s">
        <v>217</v>
      </c>
      <c r="H90" s="267" t="s">
        <v>217</v>
      </c>
      <c r="I90" s="278" t="s">
        <v>217</v>
      </c>
      <c r="J90" s="278" t="s">
        <v>217</v>
      </c>
      <c r="K90" s="269" t="s">
        <v>217</v>
      </c>
    </row>
    <row r="91" spans="1:11" ht="41.25" x14ac:dyDescent="0.2">
      <c r="A91" s="222" t="s">
        <v>508</v>
      </c>
      <c r="B91" s="274" t="s">
        <v>529</v>
      </c>
      <c r="C91" s="224"/>
      <c r="D91" s="224"/>
      <c r="E91" s="224"/>
      <c r="F91" s="225"/>
      <c r="G91" s="225"/>
      <c r="H91" s="279"/>
      <c r="I91" s="226">
        <f>H91-D91</f>
        <v>0</v>
      </c>
      <c r="J91" s="227" t="str">
        <f>IFERROR(I91/ABS(D91), "-")</f>
        <v>-</v>
      </c>
      <c r="K91" s="236"/>
    </row>
    <row r="92" spans="1:11" x14ac:dyDescent="0.2">
      <c r="A92" s="280"/>
      <c r="B92" s="281"/>
      <c r="C92" s="282"/>
      <c r="D92" s="282"/>
      <c r="E92" s="282"/>
      <c r="F92" s="283"/>
      <c r="G92" s="283"/>
      <c r="H92" s="284"/>
      <c r="I92" s="285"/>
      <c r="J92" s="285"/>
      <c r="K92" s="286"/>
    </row>
    <row r="93" spans="1:11" s="287" customFormat="1" x14ac:dyDescent="0.2">
      <c r="A93" s="415" t="s">
        <v>530</v>
      </c>
      <c r="B93" s="415"/>
      <c r="C93" s="415"/>
      <c r="D93" s="415"/>
      <c r="E93" s="415"/>
      <c r="F93" s="415"/>
      <c r="G93" s="415"/>
      <c r="H93" s="415"/>
      <c r="I93" s="415"/>
      <c r="J93" s="415"/>
      <c r="K93" s="415"/>
    </row>
    <row r="94" spans="1:11" s="287" customFormat="1" ht="18.75" customHeight="1" x14ac:dyDescent="0.2">
      <c r="A94" s="415" t="s">
        <v>531</v>
      </c>
      <c r="B94" s="415"/>
      <c r="C94" s="415"/>
      <c r="D94" s="415"/>
      <c r="E94" s="415"/>
      <c r="F94" s="415"/>
      <c r="G94" s="415"/>
      <c r="H94" s="415"/>
      <c r="I94" s="415"/>
      <c r="J94" s="415"/>
      <c r="K94" s="415"/>
    </row>
    <row r="95" spans="1:11" s="287" customFormat="1" ht="18" customHeight="1" x14ac:dyDescent="0.2">
      <c r="A95" s="415" t="s">
        <v>532</v>
      </c>
      <c r="B95" s="415"/>
      <c r="C95" s="415"/>
      <c r="D95" s="415"/>
      <c r="E95" s="415"/>
      <c r="F95" s="415"/>
      <c r="G95" s="415"/>
      <c r="H95" s="415"/>
      <c r="I95" s="415"/>
      <c r="J95" s="415"/>
      <c r="K95" s="415"/>
    </row>
    <row r="96" spans="1:11" s="287" customFormat="1" ht="21.75" customHeight="1" x14ac:dyDescent="0.2">
      <c r="A96" s="415" t="s">
        <v>533</v>
      </c>
      <c r="B96" s="415"/>
      <c r="C96" s="415"/>
      <c r="D96" s="415"/>
      <c r="E96" s="415"/>
      <c r="F96" s="415"/>
      <c r="G96" s="415"/>
      <c r="H96" s="415"/>
      <c r="I96" s="415"/>
      <c r="J96" s="415"/>
      <c r="K96" s="415"/>
    </row>
    <row r="97" spans="1:11" s="287" customFormat="1" ht="18" customHeight="1" x14ac:dyDescent="0.2">
      <c r="A97" s="415" t="s">
        <v>534</v>
      </c>
      <c r="B97" s="415"/>
      <c r="C97" s="415"/>
      <c r="D97" s="415"/>
      <c r="E97" s="415"/>
      <c r="F97" s="415"/>
      <c r="G97" s="415"/>
      <c r="H97" s="415"/>
      <c r="I97" s="415"/>
      <c r="J97" s="415"/>
      <c r="K97" s="415"/>
    </row>
    <row r="98" spans="1:11" s="287" customFormat="1" ht="17.25" customHeight="1" x14ac:dyDescent="0.2">
      <c r="A98" s="415" t="s">
        <v>535</v>
      </c>
      <c r="B98" s="415"/>
      <c r="C98" s="415"/>
      <c r="D98" s="415"/>
      <c r="E98" s="415"/>
      <c r="F98" s="415"/>
      <c r="G98" s="415"/>
      <c r="H98" s="415"/>
      <c r="I98" s="415"/>
      <c r="J98" s="415"/>
      <c r="K98" s="415"/>
    </row>
    <row r="99" spans="1:11" s="287" customFormat="1" x14ac:dyDescent="0.2">
      <c r="A99" s="415" t="s">
        <v>509</v>
      </c>
      <c r="B99" s="415"/>
      <c r="C99" s="415"/>
      <c r="D99" s="415"/>
      <c r="E99" s="415"/>
      <c r="F99" s="415"/>
      <c r="G99" s="415"/>
      <c r="H99" s="415"/>
      <c r="I99" s="415"/>
      <c r="J99" s="415"/>
      <c r="K99" s="415"/>
    </row>
    <row r="100" spans="1:11" s="287" customFormat="1" x14ac:dyDescent="0.2">
      <c r="A100" s="415" t="s">
        <v>536</v>
      </c>
      <c r="B100" s="415"/>
      <c r="C100" s="415"/>
      <c r="D100" s="415"/>
      <c r="E100" s="415"/>
      <c r="F100" s="415"/>
      <c r="G100" s="415"/>
      <c r="H100" s="415"/>
      <c r="I100" s="415"/>
      <c r="J100" s="415"/>
      <c r="K100" s="415"/>
    </row>
    <row r="101" spans="1:11" s="287" customFormat="1" ht="41.25" customHeight="1" x14ac:dyDescent="0.2">
      <c r="A101" s="415" t="s">
        <v>537</v>
      </c>
      <c r="B101" s="415"/>
      <c r="C101" s="415"/>
      <c r="D101" s="415"/>
      <c r="E101" s="415"/>
      <c r="F101" s="415"/>
      <c r="G101" s="415"/>
      <c r="H101" s="415"/>
      <c r="I101" s="415"/>
      <c r="J101" s="415"/>
      <c r="K101" s="415"/>
    </row>
    <row r="102" spans="1:11" s="287" customFormat="1" ht="40.5" customHeight="1" x14ac:dyDescent="0.2">
      <c r="A102" s="415" t="s">
        <v>592</v>
      </c>
      <c r="B102" s="415"/>
      <c r="C102" s="415"/>
      <c r="D102" s="415"/>
      <c r="E102" s="415"/>
      <c r="F102" s="415"/>
      <c r="G102" s="415"/>
      <c r="H102" s="415"/>
      <c r="I102" s="415"/>
      <c r="J102" s="415"/>
      <c r="K102" s="415"/>
    </row>
    <row r="103" spans="1:11" s="287" customFormat="1" x14ac:dyDescent="0.2">
      <c r="A103" s="415" t="s">
        <v>593</v>
      </c>
      <c r="B103" s="415"/>
      <c r="C103" s="415"/>
      <c r="D103" s="415"/>
      <c r="E103" s="415"/>
      <c r="F103" s="415"/>
      <c r="G103" s="415"/>
      <c r="H103" s="415"/>
      <c r="I103" s="415"/>
      <c r="J103" s="415"/>
      <c r="K103" s="415"/>
    </row>
    <row r="104" spans="1:11" s="287" customFormat="1" x14ac:dyDescent="0.2">
      <c r="A104" s="415" t="s">
        <v>594</v>
      </c>
      <c r="B104" s="415"/>
      <c r="C104" s="415"/>
      <c r="D104" s="415"/>
      <c r="E104" s="415"/>
      <c r="F104" s="415"/>
      <c r="G104" s="415"/>
      <c r="H104" s="415"/>
      <c r="I104" s="415"/>
      <c r="J104" s="415"/>
      <c r="K104" s="415"/>
    </row>
    <row r="105" spans="1:11" s="287" customFormat="1" x14ac:dyDescent="0.2">
      <c r="A105" s="415" t="s">
        <v>595</v>
      </c>
      <c r="B105" s="415"/>
      <c r="C105" s="415"/>
      <c r="D105" s="415"/>
      <c r="E105" s="415"/>
      <c r="F105" s="415"/>
      <c r="G105" s="415"/>
      <c r="H105" s="415"/>
      <c r="I105" s="415"/>
      <c r="J105" s="415"/>
      <c r="K105" s="415"/>
    </row>
  </sheetData>
  <mergeCells count="13">
    <mergeCell ref="A105:K105"/>
    <mergeCell ref="A99:K99"/>
    <mergeCell ref="A100:K100"/>
    <mergeCell ref="A101:K101"/>
    <mergeCell ref="A102:K102"/>
    <mergeCell ref="A103:K103"/>
    <mergeCell ref="A104:K104"/>
    <mergeCell ref="A98:K98"/>
    <mergeCell ref="A93:K93"/>
    <mergeCell ref="A94:K94"/>
    <mergeCell ref="A95:K95"/>
    <mergeCell ref="A96:K96"/>
    <mergeCell ref="A97:K97"/>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34"/>
  <sheetViews>
    <sheetView zoomScale="80" zoomScaleNormal="80" workbookViewId="0">
      <selection activeCell="D27" sqref="D27"/>
    </sheetView>
  </sheetViews>
  <sheetFormatPr defaultColWidth="9.140625" defaultRowHeight="18" x14ac:dyDescent="0.2"/>
  <cols>
    <col min="1" max="1" width="8.85546875" style="6" customWidth="1"/>
    <col min="2" max="2" width="65" style="6" customWidth="1"/>
    <col min="3" max="3" width="15" style="6" customWidth="1"/>
    <col min="4" max="4" width="16.5703125" style="6" customWidth="1"/>
    <col min="5" max="5" width="12.140625" style="6" bestFit="1" customWidth="1"/>
    <col min="6" max="6" width="13" style="6" bestFit="1" customWidth="1"/>
    <col min="7" max="8" width="14.28515625" style="6" bestFit="1" customWidth="1"/>
    <col min="9" max="16384" width="9.140625" style="6"/>
  </cols>
  <sheetData>
    <row r="1" spans="1:8" ht="75" x14ac:dyDescent="0.2">
      <c r="A1" s="379" t="s">
        <v>468</v>
      </c>
      <c r="B1" s="379" t="s">
        <v>447</v>
      </c>
      <c r="C1" s="110" t="s">
        <v>604</v>
      </c>
      <c r="D1" s="110" t="s">
        <v>664</v>
      </c>
      <c r="E1" s="110" t="s">
        <v>606</v>
      </c>
      <c r="F1" s="110" t="s">
        <v>607</v>
      </c>
      <c r="G1" s="110" t="s">
        <v>608</v>
      </c>
      <c r="H1" s="110" t="s">
        <v>665</v>
      </c>
    </row>
    <row r="2" spans="1:8" ht="18.75" x14ac:dyDescent="0.2">
      <c r="A2" s="379">
        <v>1</v>
      </c>
      <c r="B2" s="379">
        <v>2</v>
      </c>
      <c r="C2" s="379">
        <v>3</v>
      </c>
      <c r="D2" s="379">
        <v>4</v>
      </c>
      <c r="E2" s="379">
        <v>5</v>
      </c>
      <c r="F2" s="379">
        <v>6</v>
      </c>
      <c r="G2" s="379">
        <v>7</v>
      </c>
      <c r="H2" s="379">
        <v>8</v>
      </c>
    </row>
    <row r="3" spans="1:8" ht="18.75" x14ac:dyDescent="0.2">
      <c r="A3" s="379">
        <v>1</v>
      </c>
      <c r="B3" s="380" t="s">
        <v>448</v>
      </c>
      <c r="C3" s="364">
        <v>19509595</v>
      </c>
      <c r="D3" s="364">
        <v>19045920</v>
      </c>
      <c r="E3" s="364">
        <v>5163621</v>
      </c>
      <c r="F3" s="364">
        <v>10323500</v>
      </c>
      <c r="G3" s="364">
        <v>15424949</v>
      </c>
      <c r="H3" s="364">
        <v>20948326</v>
      </c>
    </row>
    <row r="4" spans="1:8" ht="18.75" x14ac:dyDescent="0.2">
      <c r="A4" s="379">
        <v>2</v>
      </c>
      <c r="B4" s="380" t="s">
        <v>449</v>
      </c>
      <c r="C4" s="364">
        <v>17588500</v>
      </c>
      <c r="D4" s="364">
        <v>-17401471</v>
      </c>
      <c r="E4" s="364">
        <v>4903395</v>
      </c>
      <c r="F4" s="364">
        <v>9652013</v>
      </c>
      <c r="G4" s="364">
        <v>14731717</v>
      </c>
      <c r="H4" s="364">
        <v>20398294</v>
      </c>
    </row>
    <row r="5" spans="1:8" ht="18.75" x14ac:dyDescent="0.2">
      <c r="A5" s="381">
        <v>3</v>
      </c>
      <c r="B5" s="382" t="s">
        <v>450</v>
      </c>
      <c r="C5" s="365">
        <f t="shared" ref="C5" si="0">C3-C4</f>
        <v>1921095</v>
      </c>
      <c r="D5" s="365">
        <f>D3+D4</f>
        <v>1644449</v>
      </c>
      <c r="E5" s="365">
        <f t="shared" ref="E5:H5" si="1">E3-E4</f>
        <v>260226</v>
      </c>
      <c r="F5" s="365">
        <f t="shared" si="1"/>
        <v>671487</v>
      </c>
      <c r="G5" s="365">
        <f t="shared" si="1"/>
        <v>693232</v>
      </c>
      <c r="H5" s="365">
        <f t="shared" si="1"/>
        <v>550032</v>
      </c>
    </row>
    <row r="6" spans="1:8" ht="18.75" x14ac:dyDescent="0.2">
      <c r="A6" s="379">
        <v>4</v>
      </c>
      <c r="B6" s="380" t="s">
        <v>451</v>
      </c>
      <c r="C6" s="364"/>
      <c r="D6" s="364"/>
      <c r="E6" s="364"/>
      <c r="F6" s="364"/>
      <c r="G6" s="364"/>
      <c r="H6" s="364"/>
    </row>
    <row r="7" spans="1:8" ht="18.75" x14ac:dyDescent="0.2">
      <c r="A7" s="379">
        <v>5</v>
      </c>
      <c r="B7" s="380" t="s">
        <v>452</v>
      </c>
      <c r="C7" s="364">
        <v>1007492</v>
      </c>
      <c r="D7" s="364">
        <v>-1076040</v>
      </c>
      <c r="E7" s="364">
        <v>303207</v>
      </c>
      <c r="F7" s="364">
        <v>596843</v>
      </c>
      <c r="G7" s="364">
        <v>910953</v>
      </c>
      <c r="H7" s="364">
        <v>1261352</v>
      </c>
    </row>
    <row r="8" spans="1:8" ht="18.75" x14ac:dyDescent="0.2">
      <c r="A8" s="379">
        <v>6</v>
      </c>
      <c r="B8" s="380" t="s">
        <v>453</v>
      </c>
      <c r="C8" s="364">
        <v>272417</v>
      </c>
      <c r="D8" s="364">
        <v>474551</v>
      </c>
      <c r="E8" s="364">
        <v>545114</v>
      </c>
      <c r="F8" s="364">
        <v>853108</v>
      </c>
      <c r="G8" s="364">
        <v>1350964</v>
      </c>
      <c r="H8" s="364">
        <v>1841303</v>
      </c>
    </row>
    <row r="9" spans="1:8" ht="18.75" x14ac:dyDescent="0.2">
      <c r="A9" s="379">
        <v>7</v>
      </c>
      <c r="B9" s="380" t="s">
        <v>454</v>
      </c>
      <c r="C9" s="364">
        <v>741618</v>
      </c>
      <c r="D9" s="364">
        <v>-497784</v>
      </c>
      <c r="E9" s="364">
        <v>140266</v>
      </c>
      <c r="F9" s="364">
        <v>276104</v>
      </c>
      <c r="G9" s="364">
        <v>421413</v>
      </c>
      <c r="H9" s="364">
        <v>583511</v>
      </c>
    </row>
    <row r="10" spans="1:8" ht="37.5" hidden="1" x14ac:dyDescent="0.2">
      <c r="A10" s="379">
        <v>8</v>
      </c>
      <c r="B10" s="380" t="s">
        <v>455</v>
      </c>
      <c r="C10" s="364"/>
      <c r="D10" s="364"/>
      <c r="E10" s="364"/>
      <c r="F10" s="364"/>
      <c r="G10" s="364"/>
      <c r="H10" s="364"/>
    </row>
    <row r="11" spans="1:8" ht="37.5" hidden="1" x14ac:dyDescent="0.2">
      <c r="A11" s="379">
        <v>9</v>
      </c>
      <c r="B11" s="380" t="s">
        <v>456</v>
      </c>
      <c r="C11" s="364"/>
      <c r="D11" s="364"/>
      <c r="E11" s="364"/>
      <c r="F11" s="364"/>
      <c r="G11" s="364"/>
      <c r="H11" s="364"/>
    </row>
    <row r="12" spans="1:8" ht="18.75" x14ac:dyDescent="0.2">
      <c r="A12" s="379">
        <v>10</v>
      </c>
      <c r="B12" s="380" t="s">
        <v>457</v>
      </c>
      <c r="C12" s="364">
        <v>481</v>
      </c>
      <c r="D12" s="364">
        <v>28</v>
      </c>
      <c r="E12" s="364"/>
      <c r="F12" s="364"/>
      <c r="G12" s="364"/>
      <c r="H12" s="364"/>
    </row>
    <row r="13" spans="1:8" ht="37.5" hidden="1" x14ac:dyDescent="0.2">
      <c r="A13" s="379">
        <v>11</v>
      </c>
      <c r="B13" s="380" t="s">
        <v>458</v>
      </c>
      <c r="C13" s="364"/>
      <c r="D13" s="364"/>
      <c r="E13" s="364"/>
      <c r="F13" s="364"/>
      <c r="G13" s="364"/>
      <c r="H13" s="364"/>
    </row>
    <row r="14" spans="1:8" ht="18.75" x14ac:dyDescent="0.2">
      <c r="A14" s="379">
        <v>12</v>
      </c>
      <c r="B14" s="380" t="s">
        <v>459</v>
      </c>
      <c r="C14" s="364">
        <v>42</v>
      </c>
      <c r="D14" s="364">
        <v>0</v>
      </c>
      <c r="E14" s="364"/>
      <c r="F14" s="364"/>
      <c r="G14" s="364"/>
      <c r="H14" s="364"/>
    </row>
    <row r="15" spans="1:8" ht="37.5" x14ac:dyDescent="0.2">
      <c r="A15" s="381">
        <v>13</v>
      </c>
      <c r="B15" s="382" t="s">
        <v>460</v>
      </c>
      <c r="C15" s="365">
        <f t="shared" ref="C15" si="2">C5-C6-C7+C8-C9+C10+C11+C12-C13-C14</f>
        <v>444841</v>
      </c>
      <c r="D15" s="365">
        <f>D5+D7+D8+D9+D12</f>
        <v>545204</v>
      </c>
      <c r="E15" s="365">
        <f t="shared" ref="E15:H15" si="3">E5-E6-E7+E8-E9+E10+E11+E12-E13-E14</f>
        <v>361867</v>
      </c>
      <c r="F15" s="365">
        <f t="shared" si="3"/>
        <v>651648</v>
      </c>
      <c r="G15" s="365">
        <f t="shared" si="3"/>
        <v>711830</v>
      </c>
      <c r="H15" s="365">
        <f t="shared" si="3"/>
        <v>546472</v>
      </c>
    </row>
    <row r="16" spans="1:8" ht="18.75" hidden="1" x14ac:dyDescent="0.2">
      <c r="A16" s="379">
        <v>14</v>
      </c>
      <c r="B16" s="380" t="s">
        <v>461</v>
      </c>
      <c r="C16" s="364"/>
      <c r="D16" s="364"/>
      <c r="E16" s="364"/>
      <c r="F16" s="364"/>
      <c r="G16" s="364"/>
      <c r="H16" s="364"/>
    </row>
    <row r="17" spans="1:8" ht="18.75" hidden="1" x14ac:dyDescent="0.2">
      <c r="A17" s="379">
        <v>15</v>
      </c>
      <c r="B17" s="380" t="s">
        <v>462</v>
      </c>
      <c r="C17" s="364"/>
      <c r="D17" s="364"/>
      <c r="E17" s="364"/>
      <c r="F17" s="364"/>
      <c r="G17" s="364"/>
      <c r="H17" s="364"/>
    </row>
    <row r="18" spans="1:8" ht="18.75" hidden="1" x14ac:dyDescent="0.2">
      <c r="A18" s="379">
        <v>16</v>
      </c>
      <c r="B18" s="380" t="s">
        <v>463</v>
      </c>
      <c r="C18" s="364"/>
      <c r="D18" s="364"/>
      <c r="E18" s="364"/>
      <c r="F18" s="364"/>
      <c r="G18" s="364"/>
      <c r="H18" s="364"/>
    </row>
    <row r="19" spans="1:8" ht="18.75" hidden="1" x14ac:dyDescent="0.2">
      <c r="A19" s="379">
        <v>17</v>
      </c>
      <c r="B19" s="380" t="s">
        <v>464</v>
      </c>
      <c r="C19" s="364"/>
      <c r="D19" s="364"/>
      <c r="E19" s="364"/>
      <c r="F19" s="364"/>
      <c r="G19" s="364"/>
      <c r="H19" s="364"/>
    </row>
    <row r="20" spans="1:8" ht="18.75" hidden="1" x14ac:dyDescent="0.2">
      <c r="A20" s="379">
        <v>18</v>
      </c>
      <c r="B20" s="380" t="s">
        <v>465</v>
      </c>
      <c r="C20" s="364"/>
      <c r="D20" s="364"/>
      <c r="E20" s="364"/>
      <c r="F20" s="364"/>
      <c r="G20" s="364"/>
      <c r="H20" s="364"/>
    </row>
    <row r="21" spans="1:8" ht="18.75" hidden="1" x14ac:dyDescent="0.2">
      <c r="A21" s="379">
        <v>19</v>
      </c>
      <c r="B21" s="380" t="s">
        <v>466</v>
      </c>
      <c r="C21" s="364"/>
      <c r="D21" s="364"/>
      <c r="E21" s="364"/>
      <c r="F21" s="364"/>
      <c r="G21" s="364"/>
      <c r="H21" s="364"/>
    </row>
    <row r="22" spans="1:8" ht="18.75" x14ac:dyDescent="0.2">
      <c r="A22" s="381">
        <v>20</v>
      </c>
      <c r="B22" s="382" t="s">
        <v>467</v>
      </c>
      <c r="C22" s="365">
        <f t="shared" ref="C22" si="4">C15+C16-C17+C18+C19+C20-C21</f>
        <v>444841</v>
      </c>
      <c r="D22" s="365">
        <f>D15</f>
        <v>545204</v>
      </c>
      <c r="E22" s="365">
        <f t="shared" ref="E22:H22" si="5">E15+E16-E17+E18+E19+E20-E21</f>
        <v>361867</v>
      </c>
      <c r="F22" s="365">
        <f t="shared" si="5"/>
        <v>651648</v>
      </c>
      <c r="G22" s="365">
        <f t="shared" si="5"/>
        <v>711830</v>
      </c>
      <c r="H22" s="365">
        <f t="shared" si="5"/>
        <v>546472</v>
      </c>
    </row>
    <row r="23" spans="1:8" ht="18.75" x14ac:dyDescent="0.2">
      <c r="A23" s="367"/>
      <c r="B23" s="367"/>
      <c r="C23" s="367"/>
      <c r="D23" s="366"/>
      <c r="E23" s="367"/>
      <c r="F23" s="367"/>
      <c r="G23" s="367"/>
      <c r="H23" s="367"/>
    </row>
    <row r="24" spans="1:8" ht="18.75" x14ac:dyDescent="0.2">
      <c r="A24" s="416" t="s">
        <v>596</v>
      </c>
      <c r="B24" s="416"/>
      <c r="C24" s="416"/>
      <c r="D24" s="367"/>
    </row>
    <row r="25" spans="1:8" x14ac:dyDescent="0.2">
      <c r="A25" s="367"/>
      <c r="B25" s="367"/>
      <c r="C25" s="367"/>
      <c r="D25" s="367"/>
      <c r="E25" s="367"/>
      <c r="F25" s="367"/>
      <c r="G25" s="367"/>
      <c r="H25" s="367"/>
    </row>
    <row r="26" spans="1:8" x14ac:dyDescent="0.2">
      <c r="A26" s="367"/>
      <c r="B26" s="367"/>
      <c r="C26" s="367"/>
      <c r="D26" s="367"/>
      <c r="E26" s="367"/>
      <c r="F26" s="367"/>
      <c r="G26" s="367"/>
      <c r="H26" s="367"/>
    </row>
    <row r="27" spans="1:8" x14ac:dyDescent="0.2">
      <c r="A27" s="367"/>
      <c r="B27" s="367"/>
      <c r="C27" s="367"/>
      <c r="D27" s="367"/>
      <c r="E27" s="367"/>
      <c r="F27" s="367"/>
      <c r="G27" s="367"/>
      <c r="H27" s="367"/>
    </row>
    <row r="28" spans="1:8" ht="18.75" x14ac:dyDescent="0.2">
      <c r="A28" s="383"/>
      <c r="B28" s="384"/>
      <c r="C28" s="368"/>
      <c r="D28" s="367"/>
      <c r="E28" s="368"/>
      <c r="F28" s="368"/>
      <c r="G28" s="368"/>
      <c r="H28" s="368"/>
    </row>
    <row r="29" spans="1:8" ht="18.75" x14ac:dyDescent="0.2">
      <c r="A29" s="383"/>
      <c r="B29" s="384"/>
      <c r="C29" s="368"/>
      <c r="D29" s="368"/>
      <c r="E29" s="368"/>
      <c r="F29" s="368"/>
      <c r="G29" s="368"/>
      <c r="H29" s="368"/>
    </row>
    <row r="30" spans="1:8" ht="18.75" x14ac:dyDescent="0.2">
      <c r="A30" s="383"/>
      <c r="B30" s="384"/>
      <c r="C30" s="368"/>
      <c r="D30" s="368"/>
      <c r="E30" s="368"/>
      <c r="F30" s="368"/>
      <c r="G30" s="368"/>
      <c r="H30" s="368"/>
    </row>
    <row r="31" spans="1:8" ht="18.75" x14ac:dyDescent="0.2">
      <c r="A31" s="383"/>
      <c r="B31" s="384"/>
      <c r="C31" s="368"/>
      <c r="D31" s="368"/>
      <c r="E31" s="368"/>
      <c r="F31" s="368"/>
      <c r="G31" s="368"/>
      <c r="H31" s="368"/>
    </row>
    <row r="32" spans="1:8" ht="18.75" x14ac:dyDescent="0.2">
      <c r="A32" s="383"/>
      <c r="B32" s="384"/>
      <c r="C32" s="368"/>
      <c r="D32" s="368"/>
      <c r="E32" s="368"/>
      <c r="F32" s="368"/>
      <c r="G32" s="368"/>
      <c r="H32" s="368"/>
    </row>
    <row r="33" spans="1:8" ht="18.75" x14ac:dyDescent="0.2">
      <c r="A33" s="383"/>
      <c r="B33" s="384"/>
      <c r="C33" s="368"/>
      <c r="D33" s="368"/>
      <c r="E33" s="368"/>
      <c r="F33" s="368"/>
      <c r="G33" s="368"/>
      <c r="H33" s="368"/>
    </row>
    <row r="34" spans="1:8" ht="18.75" x14ac:dyDescent="0.2">
      <c r="D34" s="368"/>
    </row>
  </sheetData>
  <mergeCells count="1">
    <mergeCell ref="A24:C24"/>
  </mergeCells>
  <pageMargins left="0.7" right="0.7" top="0.75" bottom="0.75" header="0.3" footer="0.3"/>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59"/>
  <sheetViews>
    <sheetView topLeftCell="A27" zoomScale="80" zoomScaleNormal="80" workbookViewId="0">
      <selection sqref="A1:XFD1048576"/>
    </sheetView>
  </sheetViews>
  <sheetFormatPr defaultColWidth="9.140625" defaultRowHeight="18.75" x14ac:dyDescent="0.3"/>
  <cols>
    <col min="1" max="1" width="8.42578125" style="386" bestFit="1" customWidth="1"/>
    <col min="2" max="2" width="45.28515625" style="386" bestFit="1" customWidth="1"/>
    <col min="3" max="3" width="16.85546875" style="29" bestFit="1" customWidth="1"/>
    <col min="4" max="4" width="17.7109375" style="29" customWidth="1"/>
    <col min="5" max="7" width="15.5703125" style="29" bestFit="1" customWidth="1"/>
    <col min="8" max="8" width="16.85546875" style="29" bestFit="1" customWidth="1"/>
    <col min="9" max="16384" width="9.140625" style="29"/>
  </cols>
  <sheetData>
    <row r="1" spans="1:9" s="386" customFormat="1" ht="56.25" x14ac:dyDescent="0.3">
      <c r="A1" s="385" t="s">
        <v>0</v>
      </c>
      <c r="B1" s="181" t="s">
        <v>362</v>
      </c>
      <c r="C1" s="110" t="s">
        <v>604</v>
      </c>
      <c r="D1" s="110" t="s">
        <v>666</v>
      </c>
      <c r="E1" s="110" t="s">
        <v>606</v>
      </c>
      <c r="F1" s="110" t="s">
        <v>607</v>
      </c>
      <c r="G1" s="110" t="s">
        <v>608</v>
      </c>
      <c r="H1" s="110" t="s">
        <v>609</v>
      </c>
    </row>
    <row r="2" spans="1:9" s="386" customFormat="1" x14ac:dyDescent="0.3">
      <c r="A2" s="385">
        <v>1</v>
      </c>
      <c r="B2" s="385">
        <v>2</v>
      </c>
      <c r="C2" s="385">
        <v>3</v>
      </c>
      <c r="D2" s="385">
        <v>4</v>
      </c>
      <c r="E2" s="385">
        <v>5</v>
      </c>
      <c r="F2" s="385">
        <v>6</v>
      </c>
      <c r="G2" s="385">
        <v>7</v>
      </c>
      <c r="H2" s="385">
        <v>8</v>
      </c>
    </row>
    <row r="3" spans="1:9" s="386" customFormat="1" x14ac:dyDescent="0.3">
      <c r="A3" s="169">
        <v>45000</v>
      </c>
      <c r="B3" s="387" t="s">
        <v>363</v>
      </c>
      <c r="C3" s="388">
        <f t="shared" ref="C3" si="0">C4+C5+C6</f>
        <v>6617584</v>
      </c>
      <c r="D3" s="369">
        <f>D4+D5+D6</f>
        <v>6706580</v>
      </c>
      <c r="E3" s="388">
        <f t="shared" ref="E3:H3" si="1">E4+E5+E6</f>
        <v>7068447</v>
      </c>
      <c r="F3" s="388">
        <f t="shared" si="1"/>
        <v>7358228</v>
      </c>
      <c r="G3" s="388">
        <f t="shared" si="1"/>
        <v>7418410</v>
      </c>
      <c r="H3" s="388">
        <f t="shared" si="1"/>
        <v>7194213</v>
      </c>
    </row>
    <row r="4" spans="1:9" x14ac:dyDescent="0.3">
      <c r="A4" s="170">
        <v>45100</v>
      </c>
      <c r="B4" s="221" t="s">
        <v>364</v>
      </c>
      <c r="C4" s="389">
        <v>3947044</v>
      </c>
      <c r="D4" s="370">
        <v>3947044</v>
      </c>
      <c r="E4" s="370">
        <v>3947044</v>
      </c>
      <c r="F4" s="370">
        <v>3947044</v>
      </c>
      <c r="G4" s="370">
        <v>3947044</v>
      </c>
      <c r="H4" s="370">
        <v>3947044</v>
      </c>
    </row>
    <row r="5" spans="1:9" x14ac:dyDescent="0.3">
      <c r="A5" s="170">
        <v>45200</v>
      </c>
      <c r="B5" s="221" t="s">
        <v>365</v>
      </c>
      <c r="C5" s="389">
        <v>2258538</v>
      </c>
      <c r="D5" s="370">
        <v>2258538</v>
      </c>
      <c r="E5" s="370">
        <v>2258538</v>
      </c>
      <c r="F5" s="370">
        <v>2258538</v>
      </c>
      <c r="G5" s="370">
        <v>2258538</v>
      </c>
      <c r="H5" s="389">
        <v>2199699</v>
      </c>
      <c r="I5" s="390"/>
    </row>
    <row r="6" spans="1:9" s="386" customFormat="1" x14ac:dyDescent="0.3">
      <c r="A6" s="166">
        <v>45300</v>
      </c>
      <c r="B6" s="391" t="s">
        <v>366</v>
      </c>
      <c r="C6" s="392">
        <f t="shared" ref="C6" si="2">C7+C8</f>
        <v>412002</v>
      </c>
      <c r="D6" s="371">
        <f>D7+D8</f>
        <v>500998</v>
      </c>
      <c r="E6" s="392">
        <f t="shared" ref="E6:H6" si="3">E7+E8</f>
        <v>862865</v>
      </c>
      <c r="F6" s="392">
        <f t="shared" si="3"/>
        <v>1152646</v>
      </c>
      <c r="G6" s="392">
        <f t="shared" si="3"/>
        <v>1212828</v>
      </c>
      <c r="H6" s="392">
        <f t="shared" si="3"/>
        <v>1047470</v>
      </c>
    </row>
    <row r="7" spans="1:9" x14ac:dyDescent="0.3">
      <c r="A7" s="170">
        <v>45310</v>
      </c>
      <c r="B7" s="221" t="s">
        <v>367</v>
      </c>
      <c r="C7" s="389">
        <v>-32839</v>
      </c>
      <c r="D7" s="370">
        <v>-44206</v>
      </c>
      <c r="E7" s="389">
        <v>500998</v>
      </c>
      <c r="F7" s="389">
        <v>500998</v>
      </c>
      <c r="G7" s="389">
        <v>500998</v>
      </c>
      <c r="H7" s="389">
        <v>500998</v>
      </c>
    </row>
    <row r="8" spans="1:9" x14ac:dyDescent="0.3">
      <c r="A8" s="170">
        <v>45320</v>
      </c>
      <c r="B8" s="221" t="s">
        <v>368</v>
      </c>
      <c r="C8" s="389">
        <v>444841</v>
      </c>
      <c r="D8" s="370">
        <v>545204</v>
      </c>
      <c r="E8" s="389">
        <v>361867</v>
      </c>
      <c r="F8" s="389">
        <v>651648</v>
      </c>
      <c r="G8" s="389">
        <v>711830</v>
      </c>
      <c r="H8" s="389">
        <v>546472</v>
      </c>
    </row>
    <row r="9" spans="1:9" x14ac:dyDescent="0.3">
      <c r="A9" s="169">
        <v>46000</v>
      </c>
      <c r="B9" s="393" t="s">
        <v>369</v>
      </c>
      <c r="C9" s="8">
        <v>58230</v>
      </c>
      <c r="D9" s="372">
        <v>128187</v>
      </c>
      <c r="E9" s="8">
        <v>148187</v>
      </c>
      <c r="F9" s="8">
        <v>148187</v>
      </c>
      <c r="G9" s="8">
        <v>148187</v>
      </c>
      <c r="H9" s="8">
        <v>148187</v>
      </c>
    </row>
    <row r="10" spans="1:9" s="386" customFormat="1" x14ac:dyDescent="0.3">
      <c r="A10" s="169">
        <v>47000</v>
      </c>
      <c r="B10" s="393" t="s">
        <v>370</v>
      </c>
      <c r="C10" s="388">
        <f t="shared" ref="C10" si="4">C11+C17</f>
        <v>8491327</v>
      </c>
      <c r="D10" s="369">
        <f>D11+D17</f>
        <v>8046947</v>
      </c>
      <c r="E10" s="388">
        <f>E11+E17</f>
        <v>7954479</v>
      </c>
      <c r="F10" s="388">
        <f>F11+F17</f>
        <v>7830898</v>
      </c>
      <c r="G10" s="388">
        <f>G11+G17</f>
        <v>7965245</v>
      </c>
      <c r="H10" s="388">
        <f>H11+H17</f>
        <v>8081513</v>
      </c>
    </row>
    <row r="11" spans="1:9" s="386" customFormat="1" x14ac:dyDescent="0.3">
      <c r="A11" s="169">
        <v>47100</v>
      </c>
      <c r="B11" s="393" t="s">
        <v>371</v>
      </c>
      <c r="C11" s="388">
        <f t="shared" ref="C11" si="5">SUM(C12:C16)</f>
        <v>6106998</v>
      </c>
      <c r="D11" s="369">
        <f t="shared" ref="D11:H11" si="6">SUM(D12:D16)</f>
        <v>6075250</v>
      </c>
      <c r="E11" s="388">
        <f t="shared" si="6"/>
        <v>6113062</v>
      </c>
      <c r="F11" s="388">
        <f t="shared" si="6"/>
        <v>6113062</v>
      </c>
      <c r="G11" s="388">
        <f t="shared" si="6"/>
        <v>6297141</v>
      </c>
      <c r="H11" s="388">
        <f t="shared" si="6"/>
        <v>6297141</v>
      </c>
    </row>
    <row r="12" spans="1:9" x14ac:dyDescent="0.3">
      <c r="A12" s="170">
        <v>47110</v>
      </c>
      <c r="B12" s="221" t="s">
        <v>372</v>
      </c>
      <c r="C12" s="7"/>
      <c r="D12" s="373"/>
      <c r="E12" s="7"/>
      <c r="F12" s="7"/>
      <c r="G12" s="7"/>
      <c r="H12" s="7"/>
    </row>
    <row r="13" spans="1:9" ht="37.5" x14ac:dyDescent="0.3">
      <c r="A13" s="170">
        <v>47120</v>
      </c>
      <c r="B13" s="221" t="s">
        <v>373</v>
      </c>
      <c r="C13" s="7"/>
      <c r="D13" s="373"/>
      <c r="E13" s="7"/>
      <c r="F13" s="7"/>
      <c r="G13" s="7"/>
      <c r="H13" s="7"/>
    </row>
    <row r="14" spans="1:9" x14ac:dyDescent="0.3">
      <c r="A14" s="170">
        <v>47130</v>
      </c>
      <c r="B14" s="221" t="s">
        <v>374</v>
      </c>
      <c r="C14" s="7"/>
      <c r="D14" s="373"/>
      <c r="E14" s="7"/>
      <c r="F14" s="7"/>
      <c r="G14" s="7"/>
      <c r="H14" s="7"/>
    </row>
    <row r="15" spans="1:9" x14ac:dyDescent="0.3">
      <c r="A15" s="170">
        <v>47140</v>
      </c>
      <c r="B15" s="221" t="s">
        <v>375</v>
      </c>
      <c r="C15" s="7">
        <v>6106998</v>
      </c>
      <c r="D15" s="370">
        <v>6075250</v>
      </c>
      <c r="E15" s="370">
        <v>6113062</v>
      </c>
      <c r="F15" s="370">
        <v>6113062</v>
      </c>
      <c r="G15" s="7">
        <v>6297141</v>
      </c>
      <c r="H15" s="7">
        <v>6297141</v>
      </c>
    </row>
    <row r="16" spans="1:9" x14ac:dyDescent="0.3">
      <c r="A16" s="170">
        <v>47150</v>
      </c>
      <c r="B16" s="221" t="s">
        <v>376</v>
      </c>
      <c r="C16" s="7"/>
      <c r="D16" s="373"/>
      <c r="E16" s="7"/>
      <c r="F16" s="7"/>
      <c r="G16" s="7"/>
      <c r="H16" s="7"/>
    </row>
    <row r="17" spans="1:8" s="386" customFormat="1" x14ac:dyDescent="0.3">
      <c r="A17" s="169">
        <v>47200</v>
      </c>
      <c r="B17" s="393" t="s">
        <v>377</v>
      </c>
      <c r="C17" s="388">
        <f t="shared" ref="C17:H17" si="7">SUM(C18:C25)</f>
        <v>2384329</v>
      </c>
      <c r="D17" s="369">
        <f t="shared" si="7"/>
        <v>1971697</v>
      </c>
      <c r="E17" s="388">
        <f t="shared" si="7"/>
        <v>1841417</v>
      </c>
      <c r="F17" s="388">
        <f t="shared" si="7"/>
        <v>1717836</v>
      </c>
      <c r="G17" s="388">
        <f t="shared" si="7"/>
        <v>1668104</v>
      </c>
      <c r="H17" s="388">
        <f t="shared" si="7"/>
        <v>1784372</v>
      </c>
    </row>
    <row r="18" spans="1:8" x14ac:dyDescent="0.3">
      <c r="A18" s="170">
        <v>47210</v>
      </c>
      <c r="B18" s="221" t="s">
        <v>372</v>
      </c>
      <c r="C18" s="389"/>
      <c r="D18" s="370"/>
      <c r="E18" s="389"/>
      <c r="F18" s="389"/>
      <c r="G18" s="389"/>
      <c r="H18" s="389"/>
    </row>
    <row r="19" spans="1:8" x14ac:dyDescent="0.3">
      <c r="A19" s="170">
        <v>47220</v>
      </c>
      <c r="B19" s="221" t="s">
        <v>374</v>
      </c>
      <c r="C19" s="389"/>
      <c r="D19" s="370"/>
      <c r="E19" s="389"/>
      <c r="F19" s="389"/>
      <c r="G19" s="389"/>
      <c r="H19" s="389"/>
    </row>
    <row r="20" spans="1:8" x14ac:dyDescent="0.3">
      <c r="A20" s="170">
        <v>47230</v>
      </c>
      <c r="B20" s="221" t="s">
        <v>378</v>
      </c>
      <c r="C20" s="389">
        <v>9400</v>
      </c>
      <c r="D20" s="370">
        <v>20946</v>
      </c>
      <c r="E20" s="370">
        <v>20946</v>
      </c>
      <c r="F20" s="370">
        <v>20946</v>
      </c>
      <c r="G20" s="370">
        <v>20946</v>
      </c>
      <c r="H20" s="370">
        <v>20946</v>
      </c>
    </row>
    <row r="21" spans="1:8" ht="37.5" x14ac:dyDescent="0.3">
      <c r="A21" s="170">
        <v>47240</v>
      </c>
      <c r="B21" s="221" t="s">
        <v>379</v>
      </c>
      <c r="C21" s="389">
        <v>627370</v>
      </c>
      <c r="D21" s="370">
        <v>168623</v>
      </c>
      <c r="E21" s="370">
        <v>250000</v>
      </c>
      <c r="F21" s="370">
        <v>180000</v>
      </c>
      <c r="G21" s="370">
        <v>180000</v>
      </c>
      <c r="H21" s="370">
        <v>180000</v>
      </c>
    </row>
    <row r="22" spans="1:8" x14ac:dyDescent="0.3">
      <c r="A22" s="170">
        <v>47250</v>
      </c>
      <c r="B22" s="221" t="s">
        <v>380</v>
      </c>
      <c r="C22" s="389">
        <v>410000</v>
      </c>
      <c r="D22" s="370">
        <v>708207</v>
      </c>
      <c r="E22" s="370">
        <v>708207</v>
      </c>
      <c r="F22" s="370">
        <v>708207</v>
      </c>
      <c r="G22" s="370">
        <v>708207</v>
      </c>
      <c r="H22" s="370">
        <v>708207</v>
      </c>
    </row>
    <row r="23" spans="1:8" x14ac:dyDescent="0.3">
      <c r="A23" s="170">
        <v>47260</v>
      </c>
      <c r="B23" s="221" t="s">
        <v>381</v>
      </c>
      <c r="C23" s="389">
        <v>470000</v>
      </c>
      <c r="D23" s="370">
        <v>95432</v>
      </c>
      <c r="E23" s="370">
        <v>95432</v>
      </c>
      <c r="F23" s="370">
        <v>95432</v>
      </c>
      <c r="G23" s="370">
        <v>95432</v>
      </c>
      <c r="H23" s="370">
        <v>95432</v>
      </c>
    </row>
    <row r="24" spans="1:8" x14ac:dyDescent="0.3">
      <c r="A24" s="170">
        <v>47280</v>
      </c>
      <c r="B24" s="221" t="s">
        <v>375</v>
      </c>
      <c r="C24" s="389">
        <v>167000</v>
      </c>
      <c r="D24" s="370">
        <v>198927</v>
      </c>
      <c r="E24" s="389">
        <v>149195</v>
      </c>
      <c r="F24" s="389">
        <v>99464</v>
      </c>
      <c r="G24" s="389">
        <v>49732</v>
      </c>
      <c r="H24" s="389">
        <v>0</v>
      </c>
    </row>
    <row r="25" spans="1:8" x14ac:dyDescent="0.3">
      <c r="A25" s="170">
        <v>47290</v>
      </c>
      <c r="B25" s="221" t="s">
        <v>382</v>
      </c>
      <c r="C25" s="389">
        <v>700559</v>
      </c>
      <c r="D25" s="370">
        <v>779562</v>
      </c>
      <c r="E25" s="389">
        <v>617637</v>
      </c>
      <c r="F25" s="389">
        <v>613787</v>
      </c>
      <c r="G25" s="389">
        <v>613787</v>
      </c>
      <c r="H25" s="389">
        <v>779787</v>
      </c>
    </row>
    <row r="26" spans="1:8" s="386" customFormat="1" ht="37.5" x14ac:dyDescent="0.3">
      <c r="A26" s="169">
        <v>48000</v>
      </c>
      <c r="B26" s="393" t="s">
        <v>383</v>
      </c>
      <c r="C26" s="388">
        <f t="shared" ref="C26:H26" si="8">C10+C9+C3</f>
        <v>15167141</v>
      </c>
      <c r="D26" s="369">
        <f t="shared" si="8"/>
        <v>14881714</v>
      </c>
      <c r="E26" s="388">
        <f t="shared" si="8"/>
        <v>15171113</v>
      </c>
      <c r="F26" s="388">
        <f t="shared" si="8"/>
        <v>15337313</v>
      </c>
      <c r="G26" s="388">
        <f t="shared" si="8"/>
        <v>15531842</v>
      </c>
      <c r="H26" s="388">
        <f t="shared" si="8"/>
        <v>15423913</v>
      </c>
    </row>
    <row r="27" spans="1:8" x14ac:dyDescent="0.3">
      <c r="A27" s="417"/>
      <c r="B27" s="418"/>
      <c r="C27" s="418"/>
      <c r="D27" s="418"/>
      <c r="E27" s="418"/>
      <c r="F27" s="418"/>
      <c r="G27" s="418"/>
      <c r="H27" s="418"/>
    </row>
    <row r="28" spans="1:8" s="386" customFormat="1" x14ac:dyDescent="0.3">
      <c r="A28" s="169">
        <v>49000</v>
      </c>
      <c r="B28" s="393" t="s">
        <v>384</v>
      </c>
      <c r="C28" s="388">
        <f t="shared" ref="C28:H28" si="9">C29+C32+C39</f>
        <v>10887654</v>
      </c>
      <c r="D28" s="369">
        <f t="shared" si="9"/>
        <v>11932762</v>
      </c>
      <c r="E28" s="388">
        <f t="shared" si="9"/>
        <v>11996955</v>
      </c>
      <c r="F28" s="388">
        <f t="shared" si="9"/>
        <v>12164373</v>
      </c>
      <c r="G28" s="388">
        <f t="shared" si="9"/>
        <v>12042762</v>
      </c>
      <c r="H28" s="388">
        <f t="shared" si="9"/>
        <v>12044084</v>
      </c>
    </row>
    <row r="29" spans="1:8" s="386" customFormat="1" x14ac:dyDescent="0.3">
      <c r="A29" s="169">
        <v>49100</v>
      </c>
      <c r="B29" s="393" t="s">
        <v>385</v>
      </c>
      <c r="C29" s="388">
        <f t="shared" ref="C29:D29" si="10">C30+C31</f>
        <v>27737</v>
      </c>
      <c r="D29" s="369">
        <f t="shared" si="10"/>
        <v>31247</v>
      </c>
      <c r="E29" s="388"/>
      <c r="F29" s="388"/>
      <c r="G29" s="388"/>
      <c r="H29" s="388"/>
    </row>
    <row r="30" spans="1:8" hidden="1" x14ac:dyDescent="0.3">
      <c r="A30" s="170">
        <v>49110</v>
      </c>
      <c r="B30" s="221" t="s">
        <v>386</v>
      </c>
      <c r="C30" s="7">
        <v>27737</v>
      </c>
      <c r="D30" s="373">
        <v>31247</v>
      </c>
      <c r="E30" s="7">
        <v>46334</v>
      </c>
      <c r="F30" s="7">
        <v>40135</v>
      </c>
      <c r="G30" s="7">
        <v>33936</v>
      </c>
      <c r="H30" s="7">
        <v>27737</v>
      </c>
    </row>
    <row r="31" spans="1:8" ht="37.5" hidden="1" x14ac:dyDescent="0.3">
      <c r="A31" s="170">
        <v>49120</v>
      </c>
      <c r="B31" s="221" t="s">
        <v>387</v>
      </c>
      <c r="C31" s="7"/>
      <c r="D31" s="373"/>
      <c r="E31" s="7"/>
      <c r="F31" s="7"/>
      <c r="G31" s="7"/>
      <c r="H31" s="7"/>
    </row>
    <row r="32" spans="1:8" s="386" customFormat="1" x14ac:dyDescent="0.3">
      <c r="A32" s="169">
        <v>49200</v>
      </c>
      <c r="B32" s="393" t="s">
        <v>388</v>
      </c>
      <c r="C32" s="388">
        <f t="shared" ref="C32" si="11">SUM(C33:C38)</f>
        <v>10859917</v>
      </c>
      <c r="D32" s="369">
        <f t="shared" ref="D32:H32" si="12">SUM(D33:D38)</f>
        <v>11901515</v>
      </c>
      <c r="E32" s="388">
        <f t="shared" si="12"/>
        <v>11996955</v>
      </c>
      <c r="F32" s="388">
        <f t="shared" si="12"/>
        <v>12164373</v>
      </c>
      <c r="G32" s="388">
        <f t="shared" si="12"/>
        <v>12042762</v>
      </c>
      <c r="H32" s="388">
        <f t="shared" si="12"/>
        <v>12044084</v>
      </c>
    </row>
    <row r="33" spans="1:8" ht="37.5" x14ac:dyDescent="0.3">
      <c r="A33" s="170">
        <v>49210</v>
      </c>
      <c r="B33" s="221" t="s">
        <v>389</v>
      </c>
      <c r="C33" s="7">
        <v>7777000</v>
      </c>
      <c r="D33" s="373">
        <v>7604522</v>
      </c>
      <c r="E33" s="373">
        <v>7604522</v>
      </c>
      <c r="F33" s="373">
        <v>7604522</v>
      </c>
      <c r="G33" s="373">
        <v>7604522</v>
      </c>
      <c r="H33" s="373">
        <v>8217706</v>
      </c>
    </row>
    <row r="34" spans="1:8" x14ac:dyDescent="0.3">
      <c r="A34" s="170">
        <v>49220</v>
      </c>
      <c r="B34" s="221" t="s">
        <v>390</v>
      </c>
      <c r="C34" s="7">
        <v>1825000</v>
      </c>
      <c r="D34" s="373">
        <v>2000924</v>
      </c>
      <c r="E34" s="373">
        <v>2141910</v>
      </c>
      <c r="F34" s="373">
        <v>2141910</v>
      </c>
      <c r="G34" s="373">
        <v>2187717</v>
      </c>
      <c r="H34" s="373">
        <v>2141910</v>
      </c>
    </row>
    <row r="35" spans="1:8" x14ac:dyDescent="0.3">
      <c r="A35" s="170">
        <v>49230</v>
      </c>
      <c r="B35" s="221" t="s">
        <v>391</v>
      </c>
      <c r="C35" s="7">
        <v>741000</v>
      </c>
      <c r="D35" s="373">
        <v>757468</v>
      </c>
      <c r="E35" s="373">
        <v>757468</v>
      </c>
      <c r="F35" s="373">
        <v>757468</v>
      </c>
      <c r="G35" s="373">
        <v>757468</v>
      </c>
      <c r="H35" s="373">
        <v>757468</v>
      </c>
    </row>
    <row r="36" spans="1:8" ht="37.5" x14ac:dyDescent="0.3">
      <c r="A36" s="170">
        <v>49240</v>
      </c>
      <c r="B36" s="221" t="s">
        <v>392</v>
      </c>
      <c r="C36" s="7">
        <v>516917</v>
      </c>
      <c r="D36" s="373">
        <v>1493055</v>
      </c>
      <c r="E36" s="373">
        <v>1493055</v>
      </c>
      <c r="F36" s="373">
        <v>1660473</v>
      </c>
      <c r="G36" s="373">
        <v>1493055</v>
      </c>
      <c r="H36" s="373">
        <v>927000</v>
      </c>
    </row>
    <row r="37" spans="1:8" hidden="1" x14ac:dyDescent="0.3">
      <c r="A37" s="170">
        <v>49250</v>
      </c>
      <c r="B37" s="221" t="s">
        <v>393</v>
      </c>
      <c r="C37" s="7"/>
      <c r="D37" s="373">
        <v>45546</v>
      </c>
      <c r="E37" s="7"/>
      <c r="F37" s="7"/>
      <c r="G37" s="7"/>
      <c r="H37" s="7"/>
    </row>
    <row r="38" spans="1:8" hidden="1" x14ac:dyDescent="0.3">
      <c r="A38" s="170">
        <v>49260</v>
      </c>
      <c r="B38" s="221" t="s">
        <v>394</v>
      </c>
      <c r="C38" s="7"/>
      <c r="D38" s="373"/>
      <c r="E38" s="7"/>
      <c r="F38" s="7"/>
      <c r="G38" s="7"/>
      <c r="H38" s="7"/>
    </row>
    <row r="39" spans="1:8" s="386" customFormat="1" x14ac:dyDescent="0.3">
      <c r="A39" s="169">
        <v>49300</v>
      </c>
      <c r="B39" s="393" t="s">
        <v>395</v>
      </c>
      <c r="C39" s="388">
        <f t="shared" ref="C39:H39" si="13">C40+C41</f>
        <v>0</v>
      </c>
      <c r="D39" s="369">
        <f t="shared" si="13"/>
        <v>0</v>
      </c>
      <c r="E39" s="388">
        <f t="shared" si="13"/>
        <v>0</v>
      </c>
      <c r="F39" s="388">
        <f t="shared" si="13"/>
        <v>0</v>
      </c>
      <c r="G39" s="388">
        <f t="shared" si="13"/>
        <v>0</v>
      </c>
      <c r="H39" s="388">
        <f t="shared" si="13"/>
        <v>0</v>
      </c>
    </row>
    <row r="40" spans="1:8" ht="37.5" hidden="1" x14ac:dyDescent="0.3">
      <c r="A40" s="142">
        <v>49310</v>
      </c>
      <c r="B40" s="221" t="s">
        <v>396</v>
      </c>
      <c r="C40" s="7"/>
      <c r="D40" s="373"/>
      <c r="E40" s="7"/>
      <c r="F40" s="7"/>
      <c r="G40" s="7"/>
      <c r="H40" s="7"/>
    </row>
    <row r="41" spans="1:8" ht="37.5" hidden="1" x14ac:dyDescent="0.3">
      <c r="A41" s="142">
        <v>49320</v>
      </c>
      <c r="B41" s="221" t="s">
        <v>397</v>
      </c>
      <c r="C41" s="7"/>
      <c r="D41" s="373"/>
      <c r="E41" s="7"/>
      <c r="F41" s="7"/>
      <c r="G41" s="7"/>
      <c r="H41" s="7"/>
    </row>
    <row r="42" spans="1:8" s="386" customFormat="1" x14ac:dyDescent="0.3">
      <c r="A42" s="169">
        <v>50000</v>
      </c>
      <c r="B42" s="393" t="s">
        <v>398</v>
      </c>
      <c r="C42" s="388">
        <f t="shared" ref="C42:H42" si="14">C43+C47+C53</f>
        <v>4279487</v>
      </c>
      <c r="D42" s="369">
        <f t="shared" si="14"/>
        <v>2948952</v>
      </c>
      <c r="E42" s="388">
        <f t="shared" si="14"/>
        <v>3174158</v>
      </c>
      <c r="F42" s="388">
        <f t="shared" si="14"/>
        <v>3172940</v>
      </c>
      <c r="G42" s="388">
        <f t="shared" si="14"/>
        <v>3489080</v>
      </c>
      <c r="H42" s="388">
        <f t="shared" si="14"/>
        <v>3379829</v>
      </c>
    </row>
    <row r="43" spans="1:8" s="386" customFormat="1" x14ac:dyDescent="0.3">
      <c r="A43" s="169">
        <v>50100</v>
      </c>
      <c r="B43" s="393" t="s">
        <v>399</v>
      </c>
      <c r="C43" s="388">
        <f t="shared" ref="C43" si="15">SUM(C44:C46)</f>
        <v>103602</v>
      </c>
      <c r="D43" s="369">
        <f t="shared" ref="D43:H43" si="16">SUM(D44:D46)</f>
        <v>282732</v>
      </c>
      <c r="E43" s="388">
        <f t="shared" si="16"/>
        <v>282732</v>
      </c>
      <c r="F43" s="388">
        <f t="shared" si="16"/>
        <v>285964</v>
      </c>
      <c r="G43" s="388">
        <f t="shared" si="16"/>
        <v>285964</v>
      </c>
      <c r="H43" s="388">
        <f t="shared" si="16"/>
        <v>285964</v>
      </c>
    </row>
    <row r="44" spans="1:8" ht="37.5" x14ac:dyDescent="0.3">
      <c r="A44" s="170">
        <v>50110</v>
      </c>
      <c r="B44" s="221" t="s">
        <v>400</v>
      </c>
      <c r="C44" s="7">
        <v>102000</v>
      </c>
      <c r="D44" s="373">
        <v>271768</v>
      </c>
      <c r="E44" s="373">
        <v>271768</v>
      </c>
      <c r="F44" s="373">
        <v>275000</v>
      </c>
      <c r="G44" s="373">
        <v>275000</v>
      </c>
      <c r="H44" s="373">
        <v>275000</v>
      </c>
    </row>
    <row r="45" spans="1:8" x14ac:dyDescent="0.3">
      <c r="A45" s="170">
        <v>50120</v>
      </c>
      <c r="B45" s="221" t="s">
        <v>401</v>
      </c>
      <c r="C45" s="7"/>
      <c r="D45" s="373"/>
      <c r="E45" s="373"/>
      <c r="F45" s="373"/>
      <c r="G45" s="373"/>
      <c r="H45" s="373"/>
    </row>
    <row r="46" spans="1:8" x14ac:dyDescent="0.3">
      <c r="A46" s="170">
        <v>50130</v>
      </c>
      <c r="B46" s="221" t="s">
        <v>402</v>
      </c>
      <c r="C46" s="7">
        <v>1602</v>
      </c>
      <c r="D46" s="373">
        <v>10964</v>
      </c>
      <c r="E46" s="373">
        <v>10964</v>
      </c>
      <c r="F46" s="373">
        <v>10964</v>
      </c>
      <c r="G46" s="373">
        <v>10964</v>
      </c>
      <c r="H46" s="373">
        <v>10964</v>
      </c>
    </row>
    <row r="47" spans="1:8" s="386" customFormat="1" x14ac:dyDescent="0.3">
      <c r="A47" s="169">
        <v>50200</v>
      </c>
      <c r="B47" s="393" t="s">
        <v>403</v>
      </c>
      <c r="C47" s="388">
        <f t="shared" ref="C47:H47" si="17">SUM(C48:C52)</f>
        <v>815395</v>
      </c>
      <c r="D47" s="369">
        <f t="shared" si="17"/>
        <v>820286</v>
      </c>
      <c r="E47" s="388">
        <f t="shared" si="17"/>
        <v>831009</v>
      </c>
      <c r="F47" s="388">
        <f t="shared" si="17"/>
        <v>881009</v>
      </c>
      <c r="G47" s="388">
        <f t="shared" si="17"/>
        <v>881009</v>
      </c>
      <c r="H47" s="388">
        <f t="shared" si="17"/>
        <v>881009</v>
      </c>
    </row>
    <row r="48" spans="1:8" x14ac:dyDescent="0.3">
      <c r="A48" s="170">
        <v>50210</v>
      </c>
      <c r="B48" s="221" t="s">
        <v>404</v>
      </c>
      <c r="C48" s="7">
        <v>801395</v>
      </c>
      <c r="D48" s="373">
        <v>789277</v>
      </c>
      <c r="E48" s="373">
        <v>800000</v>
      </c>
      <c r="F48" s="373">
        <v>850000</v>
      </c>
      <c r="G48" s="373">
        <v>850000</v>
      </c>
      <c r="H48" s="373">
        <v>850000</v>
      </c>
    </row>
    <row r="49" spans="1:8" hidden="1" x14ac:dyDescent="0.3">
      <c r="A49" s="170">
        <v>50220</v>
      </c>
      <c r="B49" s="221" t="s">
        <v>405</v>
      </c>
      <c r="C49" s="7"/>
      <c r="D49" s="373"/>
      <c r="E49" s="373"/>
      <c r="F49" s="373"/>
      <c r="G49" s="373"/>
      <c r="H49" s="373"/>
    </row>
    <row r="50" spans="1:8" x14ac:dyDescent="0.3">
      <c r="A50" s="170">
        <v>50230</v>
      </c>
      <c r="B50" s="221" t="s">
        <v>406</v>
      </c>
      <c r="C50" s="7">
        <v>900</v>
      </c>
      <c r="D50" s="373">
        <v>10429</v>
      </c>
      <c r="E50" s="373">
        <v>10429</v>
      </c>
      <c r="F50" s="373">
        <v>10429</v>
      </c>
      <c r="G50" s="373">
        <v>10429</v>
      </c>
      <c r="H50" s="373">
        <v>10429</v>
      </c>
    </row>
    <row r="51" spans="1:8" x14ac:dyDescent="0.3">
      <c r="A51" s="170">
        <v>50240</v>
      </c>
      <c r="B51" s="221" t="s">
        <v>407</v>
      </c>
      <c r="C51" s="7">
        <v>13100</v>
      </c>
      <c r="D51" s="373">
        <v>20580</v>
      </c>
      <c r="E51" s="373">
        <v>20580</v>
      </c>
      <c r="F51" s="373">
        <v>20580</v>
      </c>
      <c r="G51" s="373">
        <v>20580</v>
      </c>
      <c r="H51" s="373">
        <v>20580</v>
      </c>
    </row>
    <row r="52" spans="1:8" x14ac:dyDescent="0.3">
      <c r="A52" s="170">
        <v>50250</v>
      </c>
      <c r="B52" s="221" t="s">
        <v>408</v>
      </c>
      <c r="C52" s="7"/>
      <c r="D52" s="373">
        <v>0</v>
      </c>
      <c r="E52" s="373">
        <v>0</v>
      </c>
      <c r="F52" s="373">
        <v>0</v>
      </c>
      <c r="G52" s="373">
        <v>0</v>
      </c>
      <c r="H52" s="373">
        <v>0</v>
      </c>
    </row>
    <row r="53" spans="1:8" x14ac:dyDescent="0.3">
      <c r="A53" s="169">
        <v>50300</v>
      </c>
      <c r="B53" s="393" t="s">
        <v>409</v>
      </c>
      <c r="C53" s="8">
        <v>3360490</v>
      </c>
      <c r="D53" s="372">
        <v>1845934</v>
      </c>
      <c r="E53" s="8">
        <v>2060417</v>
      </c>
      <c r="F53" s="8">
        <v>2005967</v>
      </c>
      <c r="G53" s="8">
        <v>2322107</v>
      </c>
      <c r="H53" s="8">
        <v>2212856</v>
      </c>
    </row>
    <row r="54" spans="1:8" s="386" customFormat="1" ht="37.5" x14ac:dyDescent="0.3">
      <c r="A54" s="169">
        <v>51000</v>
      </c>
      <c r="B54" s="393" t="s">
        <v>410</v>
      </c>
      <c r="C54" s="388">
        <f t="shared" ref="C54:H54" si="18">C42+C28</f>
        <v>15167141</v>
      </c>
      <c r="D54" s="369">
        <f t="shared" si="18"/>
        <v>14881714</v>
      </c>
      <c r="E54" s="388">
        <f t="shared" si="18"/>
        <v>15171113</v>
      </c>
      <c r="F54" s="388">
        <f t="shared" si="18"/>
        <v>15337313</v>
      </c>
      <c r="G54" s="388">
        <f t="shared" si="18"/>
        <v>15531842</v>
      </c>
      <c r="H54" s="388">
        <f t="shared" si="18"/>
        <v>15423913</v>
      </c>
    </row>
    <row r="55" spans="1:8" x14ac:dyDescent="0.3">
      <c r="A55" s="419"/>
      <c r="B55" s="420"/>
      <c r="C55" s="420"/>
      <c r="D55" s="420"/>
      <c r="E55" s="420"/>
      <c r="F55" s="420"/>
      <c r="G55" s="420"/>
      <c r="H55" s="420"/>
    </row>
    <row r="56" spans="1:8" s="386" customFormat="1" x14ac:dyDescent="0.3">
      <c r="A56" s="169" t="s">
        <v>312</v>
      </c>
      <c r="B56" s="393" t="s">
        <v>411</v>
      </c>
      <c r="C56" s="388">
        <f t="shared" ref="C56:H56" si="19">SUM(C57:C58)</f>
        <v>8491327</v>
      </c>
      <c r="D56" s="369">
        <f t="shared" si="19"/>
        <v>8046947</v>
      </c>
      <c r="E56" s="388">
        <f t="shared" si="19"/>
        <v>7954479</v>
      </c>
      <c r="F56" s="388">
        <f t="shared" si="19"/>
        <v>7830898</v>
      </c>
      <c r="G56" s="388">
        <f t="shared" si="19"/>
        <v>7965245</v>
      </c>
      <c r="H56" s="388">
        <f t="shared" si="19"/>
        <v>8081513</v>
      </c>
    </row>
    <row r="57" spans="1:8" s="386" customFormat="1" x14ac:dyDescent="0.3">
      <c r="A57" s="169">
        <v>21000</v>
      </c>
      <c r="B57" s="394" t="s">
        <v>412</v>
      </c>
      <c r="C57" s="388">
        <f t="shared" ref="C57:H57" si="20">C11</f>
        <v>6106998</v>
      </c>
      <c r="D57" s="369">
        <f t="shared" si="20"/>
        <v>6075250</v>
      </c>
      <c r="E57" s="388">
        <f t="shared" si="20"/>
        <v>6113062</v>
      </c>
      <c r="F57" s="388">
        <f t="shared" si="20"/>
        <v>6113062</v>
      </c>
      <c r="G57" s="388">
        <f t="shared" si="20"/>
        <v>6297141</v>
      </c>
      <c r="H57" s="388">
        <f t="shared" si="20"/>
        <v>6297141</v>
      </c>
    </row>
    <row r="58" spans="1:8" s="386" customFormat="1" x14ac:dyDescent="0.3">
      <c r="A58" s="169">
        <v>22000</v>
      </c>
      <c r="B58" s="395" t="s">
        <v>413</v>
      </c>
      <c r="C58" s="388">
        <f t="shared" ref="C58:H58" si="21">C17</f>
        <v>2384329</v>
      </c>
      <c r="D58" s="369">
        <f t="shared" si="21"/>
        <v>1971697</v>
      </c>
      <c r="E58" s="388">
        <f t="shared" si="21"/>
        <v>1841417</v>
      </c>
      <c r="F58" s="388">
        <f t="shared" si="21"/>
        <v>1717836</v>
      </c>
      <c r="G58" s="388">
        <f t="shared" si="21"/>
        <v>1668104</v>
      </c>
      <c r="H58" s="388">
        <f t="shared" si="21"/>
        <v>1784372</v>
      </c>
    </row>
    <row r="59" spans="1:8" x14ac:dyDescent="0.3">
      <c r="D59" s="374"/>
    </row>
  </sheetData>
  <mergeCells count="2">
    <mergeCell ref="A27:H27"/>
    <mergeCell ref="A55:H55"/>
  </mergeCells>
  <pageMargins left="0.70866141732283472" right="0.70866141732283472" top="0.55118110236220474" bottom="0.19685039370078741" header="0.31496062992125984" footer="0.31496062992125984"/>
  <pageSetup paperSize="9"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115"/>
  <sheetViews>
    <sheetView topLeftCell="A58" zoomScale="80" zoomScaleNormal="80" workbookViewId="0">
      <selection activeCell="F9" sqref="F9"/>
    </sheetView>
  </sheetViews>
  <sheetFormatPr defaultColWidth="7.7109375" defaultRowHeight="18.75" x14ac:dyDescent="0.3"/>
  <cols>
    <col min="1" max="1" width="8.140625" style="307" customWidth="1"/>
    <col min="2" max="2" width="41.140625" style="307" customWidth="1"/>
    <col min="3" max="3" width="13.85546875" style="307" customWidth="1"/>
    <col min="4" max="4" width="14.140625" style="307" customWidth="1"/>
    <col min="5" max="5" width="17.7109375" style="307" customWidth="1"/>
    <col min="6" max="6" width="15.5703125" style="307" customWidth="1"/>
    <col min="7" max="7" width="13.85546875" style="307" customWidth="1"/>
    <col min="8" max="8" width="17.7109375" style="307" customWidth="1"/>
    <col min="9" max="233" width="9.140625" style="307" customWidth="1"/>
    <col min="234" max="234" width="3.140625" style="307" customWidth="1"/>
    <col min="235" max="235" width="4.42578125" style="307" customWidth="1"/>
    <col min="236" max="236" width="26" style="307" customWidth="1"/>
    <col min="237" max="237" width="8.7109375" style="307" customWidth="1"/>
    <col min="238" max="239" width="7.7109375" style="307"/>
    <col min="240" max="240" width="8.7109375" style="307" customWidth="1"/>
    <col min="241" max="242" width="7.7109375" style="307"/>
    <col min="243" max="243" width="8.7109375" style="307" customWidth="1"/>
    <col min="244" max="16384" width="7.7109375" style="307"/>
  </cols>
  <sheetData>
    <row r="1" spans="1:8" ht="52.5" customHeight="1" x14ac:dyDescent="0.3">
      <c r="A1" s="178" t="s">
        <v>0</v>
      </c>
      <c r="B1" s="179" t="s">
        <v>574</v>
      </c>
      <c r="C1" s="110" t="s">
        <v>612</v>
      </c>
      <c r="D1" s="110" t="s">
        <v>605</v>
      </c>
      <c r="E1" s="110" t="s">
        <v>606</v>
      </c>
      <c r="F1" s="110" t="s">
        <v>607</v>
      </c>
      <c r="G1" s="110" t="s">
        <v>608</v>
      </c>
      <c r="H1" s="110" t="s">
        <v>609</v>
      </c>
    </row>
    <row r="2" spans="1:8" x14ac:dyDescent="0.3">
      <c r="A2" s="178">
        <v>1</v>
      </c>
      <c r="B2" s="179">
        <v>2</v>
      </c>
      <c r="C2" s="110">
        <v>3</v>
      </c>
      <c r="D2" s="110">
        <v>4</v>
      </c>
      <c r="E2" s="110">
        <v>5</v>
      </c>
      <c r="F2" s="110">
        <v>6</v>
      </c>
      <c r="G2" s="110">
        <v>7</v>
      </c>
      <c r="H2" s="110">
        <v>8</v>
      </c>
    </row>
    <row r="3" spans="1:8" x14ac:dyDescent="0.3">
      <c r="A3" s="162">
        <v>51000</v>
      </c>
      <c r="B3" s="144" t="s">
        <v>295</v>
      </c>
      <c r="C3" s="258">
        <f t="shared" ref="C3:H3" ca="1" si="0">C4+C7+C10+C13</f>
        <v>0</v>
      </c>
      <c r="D3" s="258">
        <f t="shared" ca="1" si="0"/>
        <v>0</v>
      </c>
      <c r="E3" s="258">
        <f t="shared" ca="1" si="0"/>
        <v>0</v>
      </c>
      <c r="F3" s="258">
        <f t="shared" ca="1" si="0"/>
        <v>0</v>
      </c>
      <c r="G3" s="258">
        <f t="shared" ca="1" si="0"/>
        <v>0</v>
      </c>
      <c r="H3" s="258">
        <f t="shared" ca="1" si="0"/>
        <v>0</v>
      </c>
    </row>
    <row r="4" spans="1:8" ht="40.5" customHeight="1" x14ac:dyDescent="0.3">
      <c r="A4" s="178">
        <v>51100</v>
      </c>
      <c r="B4" s="308" t="s">
        <v>559</v>
      </c>
      <c r="C4" s="309">
        <f ca="1">SUM(OFFSET(C7,-1,0):OFFSET(C4,1,0))</f>
        <v>0</v>
      </c>
      <c r="D4" s="309">
        <f ca="1">SUM(OFFSET(D7,-1,0):OFFSET(D4,1,0))</f>
        <v>0</v>
      </c>
      <c r="E4" s="309">
        <f ca="1">SUM(OFFSET(E7,-1,0):OFFSET(E4,1,0))</f>
        <v>0</v>
      </c>
      <c r="F4" s="309">
        <f ca="1">SUM(OFFSET(F7,-1,0):OFFSET(F4,1,0))</f>
        <v>0</v>
      </c>
      <c r="G4" s="309">
        <f ca="1">SUM(OFFSET(G7,-1,0):OFFSET(G4,1,0))</f>
        <v>0</v>
      </c>
      <c r="H4" s="309">
        <f ca="1">SUM(OFFSET(H7,-1,0):OFFSET(H4,1,0))</f>
        <v>0</v>
      </c>
    </row>
    <row r="5" spans="1:8" s="312" customFormat="1" x14ac:dyDescent="0.3">
      <c r="A5" s="310"/>
      <c r="B5" s="311"/>
      <c r="C5" s="232"/>
      <c r="D5" s="232"/>
      <c r="E5" s="232"/>
      <c r="F5" s="232"/>
      <c r="G5" s="232"/>
      <c r="H5" s="232"/>
    </row>
    <row r="6" spans="1:8" s="312" customFormat="1" x14ac:dyDescent="0.3">
      <c r="A6" s="310"/>
      <c r="B6" s="311"/>
      <c r="C6" s="232"/>
      <c r="D6" s="232"/>
      <c r="E6" s="232"/>
      <c r="F6" s="232"/>
      <c r="G6" s="232"/>
      <c r="H6" s="232"/>
    </row>
    <row r="7" spans="1:8" ht="22.5" x14ac:dyDescent="0.3">
      <c r="A7" s="313">
        <v>51200</v>
      </c>
      <c r="B7" s="314" t="s">
        <v>560</v>
      </c>
      <c r="C7" s="309">
        <f ca="1">SUM(OFFSET(C10,-1,0):OFFSET(C7,1,0))</f>
        <v>0</v>
      </c>
      <c r="D7" s="309">
        <f ca="1">SUM(OFFSET(D10,-1,0):OFFSET(D7,1,0))</f>
        <v>0</v>
      </c>
      <c r="E7" s="309">
        <f ca="1">SUM(OFFSET(E10,-1,0):OFFSET(E7,1,0))</f>
        <v>0</v>
      </c>
      <c r="F7" s="309">
        <f ca="1">SUM(OFFSET(F10,-1,0):OFFSET(F7,1,0))</f>
        <v>0</v>
      </c>
      <c r="G7" s="309">
        <f ca="1">SUM(OFFSET(G10,-1,0):OFFSET(G7,1,0))</f>
        <v>0</v>
      </c>
      <c r="H7" s="309">
        <f ca="1">SUM(OFFSET(H10,-1,0):OFFSET(H7,1,0))</f>
        <v>0</v>
      </c>
    </row>
    <row r="8" spans="1:8" s="312" customFormat="1" x14ac:dyDescent="0.3">
      <c r="A8" s="99"/>
      <c r="B8" s="100"/>
      <c r="C8" s="232"/>
      <c r="D8" s="232"/>
      <c r="E8" s="232"/>
      <c r="F8" s="232"/>
      <c r="G8" s="232"/>
      <c r="H8" s="232"/>
    </row>
    <row r="9" spans="1:8" s="312" customFormat="1" x14ac:dyDescent="0.3">
      <c r="A9" s="99"/>
      <c r="B9" s="100"/>
      <c r="C9" s="232"/>
      <c r="D9" s="232"/>
      <c r="E9" s="232"/>
      <c r="F9" s="232"/>
      <c r="G9" s="232"/>
      <c r="H9" s="232"/>
    </row>
    <row r="10" spans="1:8" ht="56.25" x14ac:dyDescent="0.3">
      <c r="A10" s="313">
        <v>51300</v>
      </c>
      <c r="B10" s="314" t="s">
        <v>301</v>
      </c>
      <c r="C10" s="309">
        <f ca="1">SUM(OFFSET(C13,-1,0):OFFSET(C10,1,0))</f>
        <v>0</v>
      </c>
      <c r="D10" s="309">
        <f ca="1">SUM(OFFSET(D13,-1,0):OFFSET(D10,1,0))</f>
        <v>0</v>
      </c>
      <c r="E10" s="309">
        <f ca="1">SUM(OFFSET(E13,-1,0):OFFSET(E10,1,0))</f>
        <v>0</v>
      </c>
      <c r="F10" s="309">
        <f ca="1">SUM(OFFSET(F13,-1,0):OFFSET(F10,1,0))</f>
        <v>0</v>
      </c>
      <c r="G10" s="309">
        <f ca="1">SUM(OFFSET(G13,-1,0):OFFSET(G10,1,0))</f>
        <v>0</v>
      </c>
      <c r="H10" s="309">
        <f ca="1">SUM(OFFSET(H13,-1,0):OFFSET(H10,1,0))</f>
        <v>0</v>
      </c>
    </row>
    <row r="11" spans="1:8" s="312" customFormat="1" x14ac:dyDescent="0.3">
      <c r="A11" s="99"/>
      <c r="B11" s="100"/>
      <c r="C11" s="232"/>
      <c r="D11" s="232"/>
      <c r="E11" s="232"/>
      <c r="F11" s="232"/>
      <c r="G11" s="232"/>
      <c r="H11" s="232"/>
    </row>
    <row r="12" spans="1:8" s="312" customFormat="1" x14ac:dyDescent="0.3">
      <c r="A12" s="99"/>
      <c r="B12" s="100"/>
      <c r="C12" s="232"/>
      <c r="D12" s="232"/>
      <c r="E12" s="232"/>
      <c r="F12" s="232"/>
      <c r="G12" s="232"/>
      <c r="H12" s="232"/>
    </row>
    <row r="13" spans="1:8" ht="41.25" x14ac:dyDescent="0.3">
      <c r="A13" s="313">
        <v>51400</v>
      </c>
      <c r="B13" s="314" t="s">
        <v>561</v>
      </c>
      <c r="C13" s="309">
        <f ca="1">SUM(OFFSET(C16,-1,0):OFFSET(C13,1,0))</f>
        <v>0</v>
      </c>
      <c r="D13" s="309">
        <f ca="1">SUM(OFFSET(D16,-1,0):OFFSET(D13,1,0))</f>
        <v>0</v>
      </c>
      <c r="E13" s="309">
        <f ca="1">SUM(OFFSET(E16,-1,0):OFFSET(E13,1,0))</f>
        <v>0</v>
      </c>
      <c r="F13" s="309">
        <f ca="1">SUM(OFFSET(F16,-1,0):OFFSET(F13,1,0))</f>
        <v>0</v>
      </c>
      <c r="G13" s="309">
        <f ca="1">SUM(OFFSET(G16,-1,0):OFFSET(G13,1,0))</f>
        <v>0</v>
      </c>
      <c r="H13" s="309">
        <f ca="1">SUM(OFFSET(H16,-1,0):OFFSET(H13,1,0))</f>
        <v>0</v>
      </c>
    </row>
    <row r="14" spans="1:8" s="312" customFormat="1" x14ac:dyDescent="0.3">
      <c r="A14" s="99"/>
      <c r="B14" s="100"/>
      <c r="C14" s="232"/>
      <c r="D14" s="232"/>
      <c r="E14" s="232"/>
      <c r="F14" s="232"/>
      <c r="G14" s="232"/>
      <c r="H14" s="232"/>
    </row>
    <row r="15" spans="1:8" s="312" customFormat="1" x14ac:dyDescent="0.3">
      <c r="A15" s="99"/>
      <c r="B15" s="100"/>
      <c r="C15" s="232"/>
      <c r="D15" s="232"/>
      <c r="E15" s="232"/>
      <c r="F15" s="232"/>
      <c r="G15" s="232"/>
      <c r="H15" s="232"/>
    </row>
    <row r="16" spans="1:8" x14ac:dyDescent="0.3">
      <c r="A16" s="162">
        <v>52000</v>
      </c>
      <c r="B16" s="144" t="s">
        <v>296</v>
      </c>
      <c r="C16" s="258">
        <f ca="1">SUM(OFFSET(C24,-1,0):OFFSET(C16,1,0))</f>
        <v>0</v>
      </c>
      <c r="D16" s="258">
        <f ca="1">SUM(OFFSET(D24,-1,0):OFFSET(D16,1,0))</f>
        <v>1034402</v>
      </c>
      <c r="E16" s="258">
        <f ca="1">SUM(OFFSET(E24,-1,0):OFFSET(E16,1,0))</f>
        <v>0</v>
      </c>
      <c r="F16" s="258">
        <f ca="1">SUM(OFFSET(F24,-1,0):OFFSET(F16,1,0))</f>
        <v>0</v>
      </c>
      <c r="G16" s="258">
        <f ca="1">SUM(OFFSET(G24,-1,0):OFFSET(G16,1,0))</f>
        <v>0</v>
      </c>
      <c r="H16" s="258">
        <f ca="1">SUM(OFFSET(H24,-1,0):OFFSET(H16,1,0))</f>
        <v>0</v>
      </c>
    </row>
    <row r="17" spans="1:8" ht="22.5" x14ac:dyDescent="0.3">
      <c r="A17" s="315">
        <v>52100</v>
      </c>
      <c r="B17" s="316" t="s">
        <v>562</v>
      </c>
      <c r="C17" s="234"/>
      <c r="D17" s="232"/>
      <c r="E17" s="234"/>
      <c r="F17" s="234"/>
      <c r="G17" s="234"/>
      <c r="H17" s="234"/>
    </row>
    <row r="18" spans="1:8" ht="22.5" x14ac:dyDescent="0.3">
      <c r="A18" s="315">
        <v>52200</v>
      </c>
      <c r="B18" s="316" t="s">
        <v>563</v>
      </c>
      <c r="C18" s="234"/>
      <c r="D18" s="232"/>
      <c r="E18" s="234"/>
      <c r="F18" s="234"/>
      <c r="G18" s="234"/>
      <c r="H18" s="234"/>
    </row>
    <row r="19" spans="1:8" ht="22.5" x14ac:dyDescent="0.3">
      <c r="A19" s="315">
        <v>52300</v>
      </c>
      <c r="B19" s="316" t="s">
        <v>564</v>
      </c>
      <c r="C19" s="234"/>
      <c r="D19" s="232"/>
      <c r="E19" s="234"/>
      <c r="F19" s="234"/>
      <c r="G19" s="234"/>
      <c r="H19" s="234"/>
    </row>
    <row r="20" spans="1:8" ht="22.5" x14ac:dyDescent="0.3">
      <c r="A20" s="315">
        <v>52400</v>
      </c>
      <c r="B20" s="316" t="s">
        <v>565</v>
      </c>
      <c r="C20" s="234"/>
      <c r="D20" s="232"/>
      <c r="E20" s="234"/>
      <c r="F20" s="234"/>
      <c r="G20" s="234"/>
      <c r="H20" s="234"/>
    </row>
    <row r="21" spans="1:8" ht="22.5" x14ac:dyDescent="0.3">
      <c r="A21" s="315">
        <v>52500</v>
      </c>
      <c r="B21" s="316" t="s">
        <v>566</v>
      </c>
      <c r="C21" s="234"/>
      <c r="D21" s="232"/>
      <c r="E21" s="234"/>
      <c r="F21" s="234"/>
      <c r="G21" s="234"/>
      <c r="H21" s="234"/>
    </row>
    <row r="22" spans="1:8" x14ac:dyDescent="0.3">
      <c r="A22" s="315">
        <v>52600</v>
      </c>
      <c r="B22" s="316" t="s">
        <v>293</v>
      </c>
      <c r="C22" s="234"/>
      <c r="D22" s="232"/>
      <c r="E22" s="234"/>
      <c r="F22" s="234"/>
      <c r="G22" s="234"/>
      <c r="H22" s="234"/>
    </row>
    <row r="23" spans="1:8" ht="22.5" x14ac:dyDescent="0.3">
      <c r="A23" s="317">
        <v>52700</v>
      </c>
      <c r="B23" s="318" t="s">
        <v>567</v>
      </c>
      <c r="C23" s="234"/>
      <c r="D23" s="232">
        <v>1034402</v>
      </c>
      <c r="E23" s="234"/>
      <c r="F23" s="234"/>
      <c r="G23" s="234"/>
      <c r="H23" s="234"/>
    </row>
    <row r="24" spans="1:8" x14ac:dyDescent="0.3">
      <c r="A24" s="162">
        <v>53000</v>
      </c>
      <c r="B24" s="144" t="s">
        <v>297</v>
      </c>
      <c r="C24" s="258">
        <f t="shared" ref="C24:H24" ca="1" si="1">C25+C78+C81+C84+C90+C93</f>
        <v>788931</v>
      </c>
      <c r="D24" s="258">
        <f t="shared" ca="1" si="1"/>
        <v>750339</v>
      </c>
      <c r="E24" s="258">
        <f t="shared" ca="1" si="1"/>
        <v>306298</v>
      </c>
      <c r="F24" s="258">
        <f t="shared" ca="1" si="1"/>
        <v>773799</v>
      </c>
      <c r="G24" s="258">
        <f t="shared" ca="1" si="1"/>
        <v>835036</v>
      </c>
      <c r="H24" s="258">
        <f t="shared" ca="1" si="1"/>
        <v>898524</v>
      </c>
    </row>
    <row r="25" spans="1:8" ht="41.25" x14ac:dyDescent="0.3">
      <c r="A25" s="319">
        <v>53100</v>
      </c>
      <c r="B25" s="320" t="s">
        <v>568</v>
      </c>
      <c r="C25" s="321">
        <f>C26+C75</f>
        <v>788931</v>
      </c>
      <c r="D25" s="321">
        <f>D26+D75</f>
        <v>682771</v>
      </c>
      <c r="E25" s="321">
        <f ca="1">E26+E75+E84</f>
        <v>295811</v>
      </c>
      <c r="F25" s="321">
        <f ca="1">F26+F75</f>
        <v>762824</v>
      </c>
      <c r="G25" s="321">
        <f ca="1">G26+G75</f>
        <v>818574</v>
      </c>
      <c r="H25" s="321">
        <f ca="1">H26+H75</f>
        <v>876574</v>
      </c>
    </row>
    <row r="26" spans="1:8" ht="37.5" x14ac:dyDescent="0.3">
      <c r="A26" s="315">
        <v>53110</v>
      </c>
      <c r="B26" s="322" t="s">
        <v>299</v>
      </c>
      <c r="C26" s="309">
        <v>728879</v>
      </c>
      <c r="D26" s="309">
        <v>659418</v>
      </c>
      <c r="E26" s="309">
        <f>SUM(E28:E74)</f>
        <v>285324</v>
      </c>
      <c r="F26" s="309">
        <f>SUM(F28:F74)</f>
        <v>762824</v>
      </c>
      <c r="G26" s="309">
        <f>SUM(G28:G74)</f>
        <v>818574</v>
      </c>
      <c r="H26" s="309">
        <f>SUM(H28:H74)</f>
        <v>876574</v>
      </c>
    </row>
    <row r="27" spans="1:8" s="312" customFormat="1" hidden="1" x14ac:dyDescent="0.3">
      <c r="A27" s="101"/>
      <c r="B27" s="102"/>
      <c r="C27" s="234"/>
      <c r="D27" s="232"/>
      <c r="E27" s="234"/>
      <c r="F27" s="234"/>
      <c r="G27" s="234"/>
      <c r="H27" s="234"/>
    </row>
    <row r="28" spans="1:8" s="312" customFormat="1" x14ac:dyDescent="0.3">
      <c r="A28" s="101"/>
      <c r="B28" s="102" t="s">
        <v>613</v>
      </c>
      <c r="C28" s="234"/>
      <c r="D28" s="232"/>
      <c r="E28" s="234"/>
      <c r="F28" s="234">
        <f>1000</f>
        <v>1000</v>
      </c>
      <c r="G28" s="234">
        <v>1000</v>
      </c>
      <c r="H28" s="234">
        <v>1000</v>
      </c>
    </row>
    <row r="29" spans="1:8" s="312" customFormat="1" x14ac:dyDescent="0.3">
      <c r="A29" s="101"/>
      <c r="B29" s="102" t="s">
        <v>614</v>
      </c>
      <c r="C29" s="234"/>
      <c r="D29" s="232"/>
      <c r="E29" s="234"/>
      <c r="F29" s="234"/>
      <c r="G29" s="234">
        <f>8000</f>
        <v>8000</v>
      </c>
      <c r="H29" s="234">
        <v>8000</v>
      </c>
    </row>
    <row r="30" spans="1:8" s="312" customFormat="1" ht="37.5" x14ac:dyDescent="0.3">
      <c r="A30" s="101"/>
      <c r="B30" s="102" t="s">
        <v>615</v>
      </c>
      <c r="C30" s="234"/>
      <c r="D30" s="232"/>
      <c r="E30" s="234"/>
      <c r="F30" s="234"/>
      <c r="G30" s="234">
        <v>1000</v>
      </c>
      <c r="H30" s="234">
        <v>1000</v>
      </c>
    </row>
    <row r="31" spans="1:8" s="312" customFormat="1" ht="37.5" x14ac:dyDescent="0.3">
      <c r="A31" s="101"/>
      <c r="B31" s="102" t="s">
        <v>616</v>
      </c>
      <c r="C31" s="234"/>
      <c r="D31" s="232"/>
      <c r="E31" s="234">
        <v>1500</v>
      </c>
      <c r="F31" s="234">
        <v>1500</v>
      </c>
      <c r="G31" s="234">
        <v>1500</v>
      </c>
      <c r="H31" s="234">
        <v>1500</v>
      </c>
    </row>
    <row r="32" spans="1:8" s="312" customFormat="1" ht="37.5" x14ac:dyDescent="0.3">
      <c r="A32" s="101"/>
      <c r="B32" s="102" t="s">
        <v>617</v>
      </c>
      <c r="C32" s="234"/>
      <c r="D32" s="232"/>
      <c r="E32" s="234">
        <v>6000</v>
      </c>
      <c r="F32" s="234">
        <v>6000</v>
      </c>
      <c r="G32" s="234">
        <v>6000</v>
      </c>
      <c r="H32" s="234">
        <v>6000</v>
      </c>
    </row>
    <row r="33" spans="1:8" s="312" customFormat="1" ht="37.5" x14ac:dyDescent="0.3">
      <c r="A33" s="101"/>
      <c r="B33" s="102" t="s">
        <v>618</v>
      </c>
      <c r="C33" s="234"/>
      <c r="D33" s="232"/>
      <c r="E33" s="234">
        <v>332</v>
      </c>
      <c r="F33" s="234">
        <v>332</v>
      </c>
      <c r="G33" s="234">
        <v>332</v>
      </c>
      <c r="H33" s="234">
        <v>332</v>
      </c>
    </row>
    <row r="34" spans="1:8" s="312" customFormat="1" x14ac:dyDescent="0.3">
      <c r="A34" s="101"/>
      <c r="B34" s="102" t="s">
        <v>619</v>
      </c>
      <c r="C34" s="234"/>
      <c r="D34" s="232"/>
      <c r="E34" s="234">
        <v>442</v>
      </c>
      <c r="F34" s="234">
        <v>442</v>
      </c>
      <c r="G34" s="234">
        <v>442</v>
      </c>
      <c r="H34" s="234">
        <v>442</v>
      </c>
    </row>
    <row r="35" spans="1:8" s="312" customFormat="1" x14ac:dyDescent="0.3">
      <c r="A35" s="101"/>
      <c r="B35" s="102" t="s">
        <v>620</v>
      </c>
      <c r="C35" s="234"/>
      <c r="D35" s="232"/>
      <c r="E35" s="234">
        <v>3600</v>
      </c>
      <c r="F35" s="234">
        <v>3600</v>
      </c>
      <c r="G35" s="234">
        <v>3600</v>
      </c>
      <c r="H35" s="234">
        <v>3600</v>
      </c>
    </row>
    <row r="36" spans="1:8" s="312" customFormat="1" x14ac:dyDescent="0.3">
      <c r="A36" s="101"/>
      <c r="B36" s="102" t="s">
        <v>621</v>
      </c>
      <c r="C36" s="234"/>
      <c r="D36" s="232"/>
      <c r="E36" s="234">
        <v>800</v>
      </c>
      <c r="F36" s="234">
        <v>800</v>
      </c>
      <c r="G36" s="234">
        <v>800</v>
      </c>
      <c r="H36" s="234">
        <v>800</v>
      </c>
    </row>
    <row r="37" spans="1:8" s="312" customFormat="1" ht="37.5" x14ac:dyDescent="0.3">
      <c r="A37" s="101"/>
      <c r="B37" s="102" t="s">
        <v>622</v>
      </c>
      <c r="C37" s="234"/>
      <c r="D37" s="232"/>
      <c r="E37" s="234">
        <v>170</v>
      </c>
      <c r="F37" s="234">
        <v>170</v>
      </c>
      <c r="G37" s="234">
        <v>170</v>
      </c>
      <c r="H37" s="234">
        <v>170</v>
      </c>
    </row>
    <row r="38" spans="1:8" s="312" customFormat="1" x14ac:dyDescent="0.3">
      <c r="A38" s="101"/>
      <c r="B38" s="102" t="s">
        <v>623</v>
      </c>
      <c r="C38" s="234"/>
      <c r="D38" s="232"/>
      <c r="E38" s="234">
        <v>300</v>
      </c>
      <c r="F38" s="234">
        <v>300</v>
      </c>
      <c r="G38" s="234">
        <v>300</v>
      </c>
      <c r="H38" s="234">
        <v>300</v>
      </c>
    </row>
    <row r="39" spans="1:8" s="312" customFormat="1" x14ac:dyDescent="0.3">
      <c r="A39" s="101"/>
      <c r="B39" s="102" t="s">
        <v>624</v>
      </c>
      <c r="C39" s="234"/>
      <c r="D39" s="232"/>
      <c r="E39" s="234">
        <v>1200</v>
      </c>
      <c r="F39" s="234">
        <v>1200</v>
      </c>
      <c r="G39" s="234">
        <v>1200</v>
      </c>
      <c r="H39" s="234">
        <v>1200</v>
      </c>
    </row>
    <row r="40" spans="1:8" s="312" customFormat="1" x14ac:dyDescent="0.3">
      <c r="A40" s="101"/>
      <c r="B40" s="102" t="s">
        <v>625</v>
      </c>
      <c r="C40" s="234"/>
      <c r="D40" s="232"/>
      <c r="E40" s="234">
        <v>600</v>
      </c>
      <c r="F40" s="234">
        <v>600</v>
      </c>
      <c r="G40" s="234">
        <v>600</v>
      </c>
      <c r="H40" s="234">
        <v>600</v>
      </c>
    </row>
    <row r="41" spans="1:8" s="312" customFormat="1" x14ac:dyDescent="0.3">
      <c r="A41" s="101"/>
      <c r="B41" s="102" t="s">
        <v>626</v>
      </c>
      <c r="C41" s="234"/>
      <c r="D41" s="232"/>
      <c r="E41" s="234">
        <v>250</v>
      </c>
      <c r="F41" s="234">
        <v>250</v>
      </c>
      <c r="G41" s="234">
        <v>250</v>
      </c>
      <c r="H41" s="234">
        <v>250</v>
      </c>
    </row>
    <row r="42" spans="1:8" s="312" customFormat="1" x14ac:dyDescent="0.3">
      <c r="A42" s="101"/>
      <c r="B42" s="102" t="s">
        <v>627</v>
      </c>
      <c r="C42" s="234"/>
      <c r="D42" s="232"/>
      <c r="E42" s="234">
        <v>700</v>
      </c>
      <c r="F42" s="234">
        <v>700</v>
      </c>
      <c r="G42" s="234">
        <v>700</v>
      </c>
      <c r="H42" s="234">
        <v>700</v>
      </c>
    </row>
    <row r="43" spans="1:8" s="312" customFormat="1" ht="37.5" x14ac:dyDescent="0.3">
      <c r="A43" s="101"/>
      <c r="B43" s="102" t="s">
        <v>628</v>
      </c>
      <c r="C43" s="234"/>
      <c r="D43" s="232"/>
      <c r="E43" s="234"/>
      <c r="F43" s="234">
        <v>9000</v>
      </c>
      <c r="G43" s="234">
        <v>9000</v>
      </c>
      <c r="H43" s="234">
        <v>9000</v>
      </c>
    </row>
    <row r="44" spans="1:8" s="312" customFormat="1" x14ac:dyDescent="0.3">
      <c r="A44" s="101"/>
      <c r="B44" s="102" t="s">
        <v>629</v>
      </c>
      <c r="C44" s="234"/>
      <c r="D44" s="232"/>
      <c r="E44" s="234"/>
      <c r="F44" s="234"/>
      <c r="G44" s="234">
        <v>4000</v>
      </c>
      <c r="H44" s="234">
        <v>4000</v>
      </c>
    </row>
    <row r="45" spans="1:8" s="312" customFormat="1" x14ac:dyDescent="0.3">
      <c r="A45" s="101"/>
      <c r="B45" s="102" t="s">
        <v>630</v>
      </c>
      <c r="C45" s="234"/>
      <c r="D45" s="232"/>
      <c r="E45" s="234"/>
      <c r="F45" s="234"/>
      <c r="G45" s="234">
        <v>6000</v>
      </c>
      <c r="H45" s="234">
        <v>6000</v>
      </c>
    </row>
    <row r="46" spans="1:8" s="312" customFormat="1" x14ac:dyDescent="0.3">
      <c r="A46" s="101"/>
      <c r="B46" s="102" t="s">
        <v>631</v>
      </c>
      <c r="C46" s="234"/>
      <c r="D46" s="232"/>
      <c r="E46" s="234">
        <v>2700</v>
      </c>
      <c r="F46" s="234">
        <v>2700</v>
      </c>
      <c r="G46" s="234">
        <v>2700</v>
      </c>
      <c r="H46" s="234">
        <v>2700</v>
      </c>
    </row>
    <row r="47" spans="1:8" s="312" customFormat="1" x14ac:dyDescent="0.3">
      <c r="A47" s="101"/>
      <c r="B47" s="102" t="s">
        <v>632</v>
      </c>
      <c r="C47" s="234"/>
      <c r="D47" s="232"/>
      <c r="E47" s="234">
        <v>5400</v>
      </c>
      <c r="F47" s="234">
        <v>5400</v>
      </c>
      <c r="G47" s="234">
        <v>5400</v>
      </c>
      <c r="H47" s="234">
        <v>5400</v>
      </c>
    </row>
    <row r="48" spans="1:8" s="312" customFormat="1" ht="56.25" x14ac:dyDescent="0.3">
      <c r="A48" s="101"/>
      <c r="B48" s="102" t="s">
        <v>633</v>
      </c>
      <c r="C48" s="234"/>
      <c r="D48" s="232"/>
      <c r="E48" s="234">
        <v>300</v>
      </c>
      <c r="F48" s="234">
        <v>300</v>
      </c>
      <c r="G48" s="234">
        <v>300</v>
      </c>
      <c r="H48" s="234">
        <v>300</v>
      </c>
    </row>
    <row r="49" spans="1:8" s="312" customFormat="1" x14ac:dyDescent="0.3">
      <c r="A49" s="101"/>
      <c r="B49" s="102" t="s">
        <v>634</v>
      </c>
      <c r="C49" s="234"/>
      <c r="D49" s="232"/>
      <c r="E49" s="234"/>
      <c r="F49" s="234">
        <v>1000</v>
      </c>
      <c r="G49" s="234">
        <v>1000</v>
      </c>
      <c r="H49" s="234">
        <v>1000</v>
      </c>
    </row>
    <row r="50" spans="1:8" s="312" customFormat="1" x14ac:dyDescent="0.3">
      <c r="A50" s="101"/>
      <c r="B50" s="102" t="s">
        <v>635</v>
      </c>
      <c r="C50" s="234"/>
      <c r="D50" s="232"/>
      <c r="E50" s="234"/>
      <c r="F50" s="234">
        <v>1200</v>
      </c>
      <c r="G50" s="234">
        <v>1200</v>
      </c>
      <c r="H50" s="234">
        <v>1200</v>
      </c>
    </row>
    <row r="51" spans="1:8" s="312" customFormat="1" x14ac:dyDescent="0.3">
      <c r="A51" s="101"/>
      <c r="B51" s="102" t="s">
        <v>636</v>
      </c>
      <c r="C51" s="234"/>
      <c r="D51" s="232"/>
      <c r="E51" s="234"/>
      <c r="F51" s="234">
        <v>300</v>
      </c>
      <c r="G51" s="234">
        <v>300</v>
      </c>
      <c r="H51" s="234">
        <v>300</v>
      </c>
    </row>
    <row r="52" spans="1:8" s="312" customFormat="1" x14ac:dyDescent="0.3">
      <c r="A52" s="101"/>
      <c r="B52" s="102" t="s">
        <v>637</v>
      </c>
      <c r="C52" s="234"/>
      <c r="D52" s="232"/>
      <c r="E52" s="234"/>
      <c r="F52" s="234"/>
      <c r="G52" s="234">
        <v>750</v>
      </c>
      <c r="H52" s="234">
        <v>750</v>
      </c>
    </row>
    <row r="53" spans="1:8" s="312" customFormat="1" x14ac:dyDescent="0.3">
      <c r="A53" s="101"/>
      <c r="B53" s="102" t="s">
        <v>638</v>
      </c>
      <c r="C53" s="234"/>
      <c r="D53" s="232"/>
      <c r="E53" s="234"/>
      <c r="F53" s="234"/>
      <c r="G53" s="234">
        <v>1000</v>
      </c>
      <c r="H53" s="234">
        <v>1000</v>
      </c>
    </row>
    <row r="54" spans="1:8" s="312" customFormat="1" x14ac:dyDescent="0.3">
      <c r="A54" s="101"/>
      <c r="B54" s="102" t="s">
        <v>639</v>
      </c>
      <c r="C54" s="234"/>
      <c r="D54" s="232"/>
      <c r="E54" s="234">
        <v>1100</v>
      </c>
      <c r="F54" s="234">
        <v>1100</v>
      </c>
      <c r="G54" s="234">
        <v>1100</v>
      </c>
      <c r="H54" s="234">
        <v>1100</v>
      </c>
    </row>
    <row r="55" spans="1:8" s="312" customFormat="1" x14ac:dyDescent="0.3">
      <c r="A55" s="101"/>
      <c r="B55" s="102" t="s">
        <v>640</v>
      </c>
      <c r="C55" s="234"/>
      <c r="D55" s="232"/>
      <c r="E55" s="234">
        <v>9930</v>
      </c>
      <c r="F55" s="234">
        <v>9930</v>
      </c>
      <c r="G55" s="234">
        <v>9930</v>
      </c>
      <c r="H55" s="234">
        <v>9930</v>
      </c>
    </row>
    <row r="56" spans="1:8" s="312" customFormat="1" ht="37.5" x14ac:dyDescent="0.3">
      <c r="A56" s="101"/>
      <c r="B56" s="102" t="s">
        <v>641</v>
      </c>
      <c r="C56" s="234"/>
      <c r="D56" s="232"/>
      <c r="E56" s="234">
        <v>80000</v>
      </c>
      <c r="F56" s="234">
        <v>80000</v>
      </c>
      <c r="G56" s="234">
        <v>80000</v>
      </c>
      <c r="H56" s="234">
        <v>80000</v>
      </c>
    </row>
    <row r="57" spans="1:8" s="312" customFormat="1" ht="56.25" x14ac:dyDescent="0.3">
      <c r="A57" s="101"/>
      <c r="B57" s="102" t="s">
        <v>642</v>
      </c>
      <c r="C57" s="234"/>
      <c r="D57" s="232"/>
      <c r="E57" s="234">
        <v>52000</v>
      </c>
      <c r="F57" s="234">
        <v>52000</v>
      </c>
      <c r="G57" s="234">
        <v>52000</v>
      </c>
      <c r="H57" s="234">
        <v>52000</v>
      </c>
    </row>
    <row r="58" spans="1:8" s="312" customFormat="1" ht="37.5" x14ac:dyDescent="0.3">
      <c r="A58" s="101"/>
      <c r="B58" s="102" t="s">
        <v>643</v>
      </c>
      <c r="C58" s="234"/>
      <c r="D58" s="232"/>
      <c r="E58" s="234">
        <v>41000</v>
      </c>
      <c r="F58" s="234">
        <v>41000</v>
      </c>
      <c r="G58" s="234">
        <v>41000</v>
      </c>
      <c r="H58" s="234">
        <v>41000</v>
      </c>
    </row>
    <row r="59" spans="1:8" s="312" customFormat="1" ht="56.25" x14ac:dyDescent="0.3">
      <c r="A59" s="101"/>
      <c r="B59" s="102" t="s">
        <v>644</v>
      </c>
      <c r="C59" s="234"/>
      <c r="D59" s="232"/>
      <c r="E59" s="234">
        <v>77000</v>
      </c>
      <c r="F59" s="234">
        <v>77000</v>
      </c>
      <c r="G59" s="234">
        <v>77000</v>
      </c>
      <c r="H59" s="234">
        <v>77000</v>
      </c>
    </row>
    <row r="60" spans="1:8" s="312" customFormat="1" ht="56.25" x14ac:dyDescent="0.3">
      <c r="A60" s="101"/>
      <c r="B60" s="102" t="s">
        <v>645</v>
      </c>
      <c r="C60" s="234"/>
      <c r="D60" s="232"/>
      <c r="E60" s="234"/>
      <c r="F60" s="234">
        <v>110000</v>
      </c>
      <c r="G60" s="234">
        <v>110000</v>
      </c>
      <c r="H60" s="234">
        <v>110000</v>
      </c>
    </row>
    <row r="61" spans="1:8" s="312" customFormat="1" ht="37.5" x14ac:dyDescent="0.3">
      <c r="A61" s="101"/>
      <c r="B61" s="102" t="s">
        <v>646</v>
      </c>
      <c r="C61" s="234"/>
      <c r="D61" s="232"/>
      <c r="E61" s="234"/>
      <c r="F61" s="234">
        <v>30000</v>
      </c>
      <c r="G61" s="234">
        <v>30000</v>
      </c>
      <c r="H61" s="234">
        <v>30000</v>
      </c>
    </row>
    <row r="62" spans="1:8" s="312" customFormat="1" ht="37.5" x14ac:dyDescent="0.3">
      <c r="A62" s="101"/>
      <c r="B62" s="102" t="s">
        <v>647</v>
      </c>
      <c r="C62" s="234"/>
      <c r="D62" s="232"/>
      <c r="E62" s="234"/>
      <c r="F62" s="234">
        <v>50000</v>
      </c>
      <c r="G62" s="234">
        <v>50000</v>
      </c>
      <c r="H62" s="234">
        <v>50000</v>
      </c>
    </row>
    <row r="63" spans="1:8" s="312" customFormat="1" x14ac:dyDescent="0.3">
      <c r="A63" s="101"/>
      <c r="B63" s="102" t="s">
        <v>648</v>
      </c>
      <c r="C63" s="234"/>
      <c r="D63" s="232"/>
      <c r="E63" s="234"/>
      <c r="F63" s="234">
        <v>10000</v>
      </c>
      <c r="G63" s="234">
        <v>10000</v>
      </c>
      <c r="H63" s="234">
        <v>10000</v>
      </c>
    </row>
    <row r="64" spans="1:8" s="312" customFormat="1" ht="37.5" x14ac:dyDescent="0.3">
      <c r="A64" s="101"/>
      <c r="B64" s="102" t="s">
        <v>649</v>
      </c>
      <c r="C64" s="234"/>
      <c r="D64" s="232"/>
      <c r="E64" s="234"/>
      <c r="F64" s="234">
        <v>80000</v>
      </c>
      <c r="G64" s="234">
        <v>80000</v>
      </c>
      <c r="H64" s="234">
        <v>80000</v>
      </c>
    </row>
    <row r="65" spans="1:8" s="312" customFormat="1" x14ac:dyDescent="0.3">
      <c r="A65" s="101"/>
      <c r="B65" s="102" t="s">
        <v>650</v>
      </c>
      <c r="C65" s="234"/>
      <c r="D65" s="232"/>
      <c r="E65" s="234"/>
      <c r="F65" s="234">
        <v>60000</v>
      </c>
      <c r="G65" s="234">
        <v>60000</v>
      </c>
      <c r="H65" s="234">
        <v>60000</v>
      </c>
    </row>
    <row r="66" spans="1:8" s="312" customFormat="1" ht="37.5" x14ac:dyDescent="0.3">
      <c r="A66" s="101"/>
      <c r="B66" s="102" t="s">
        <v>651</v>
      </c>
      <c r="C66" s="234"/>
      <c r="D66" s="232"/>
      <c r="E66" s="234"/>
      <c r="F66" s="234">
        <v>37000</v>
      </c>
      <c r="G66" s="234">
        <v>37000</v>
      </c>
      <c r="H66" s="234">
        <v>37000</v>
      </c>
    </row>
    <row r="67" spans="1:8" s="312" customFormat="1" x14ac:dyDescent="0.3">
      <c r="A67" s="101"/>
      <c r="B67" s="102" t="s">
        <v>652</v>
      </c>
      <c r="C67" s="234"/>
      <c r="D67" s="232"/>
      <c r="E67" s="234"/>
      <c r="F67" s="234">
        <v>10000</v>
      </c>
      <c r="G67" s="234">
        <v>10000</v>
      </c>
      <c r="H67" s="234">
        <v>10000</v>
      </c>
    </row>
    <row r="68" spans="1:8" s="312" customFormat="1" ht="37.5" x14ac:dyDescent="0.3">
      <c r="A68" s="101"/>
      <c r="B68" s="102" t="s">
        <v>653</v>
      </c>
      <c r="C68" s="234"/>
      <c r="D68" s="232"/>
      <c r="E68" s="234"/>
      <c r="F68" s="234"/>
      <c r="G68" s="234">
        <v>35000</v>
      </c>
      <c r="H68" s="234">
        <v>35000</v>
      </c>
    </row>
    <row r="69" spans="1:8" s="312" customFormat="1" ht="37.5" x14ac:dyDescent="0.3">
      <c r="A69" s="101"/>
      <c r="B69" s="102" t="s">
        <v>654</v>
      </c>
      <c r="C69" s="234"/>
      <c r="D69" s="232"/>
      <c r="E69" s="234"/>
      <c r="F69" s="234"/>
      <c r="G69" s="234"/>
      <c r="H69" s="234">
        <v>5000</v>
      </c>
    </row>
    <row r="70" spans="1:8" s="312" customFormat="1" ht="37.5" x14ac:dyDescent="0.3">
      <c r="A70" s="101"/>
      <c r="B70" s="102" t="s">
        <v>603</v>
      </c>
      <c r="C70" s="234"/>
      <c r="D70" s="232"/>
      <c r="E70" s="234"/>
      <c r="F70" s="234"/>
      <c r="G70" s="234"/>
      <c r="H70" s="234">
        <v>3000</v>
      </c>
    </row>
    <row r="71" spans="1:8" s="312" customFormat="1" x14ac:dyDescent="0.3">
      <c r="A71" s="101"/>
      <c r="B71" s="102" t="s">
        <v>655</v>
      </c>
      <c r="C71" s="234"/>
      <c r="D71" s="232"/>
      <c r="E71" s="234"/>
      <c r="F71" s="234"/>
      <c r="G71" s="234"/>
      <c r="H71" s="234">
        <v>50000</v>
      </c>
    </row>
    <row r="72" spans="1:8" s="312" customFormat="1" x14ac:dyDescent="0.3">
      <c r="A72" s="101"/>
      <c r="B72" s="102" t="s">
        <v>656</v>
      </c>
      <c r="C72" s="234"/>
      <c r="D72" s="232"/>
      <c r="E72" s="234"/>
      <c r="F72" s="234">
        <v>12000</v>
      </c>
      <c r="G72" s="234">
        <v>12000</v>
      </c>
      <c r="H72" s="234">
        <v>12000</v>
      </c>
    </row>
    <row r="73" spans="1:8" s="312" customFormat="1" ht="37.5" x14ac:dyDescent="0.3">
      <c r="A73" s="101"/>
      <c r="B73" s="102" t="s">
        <v>657</v>
      </c>
      <c r="C73" s="234"/>
      <c r="D73" s="232"/>
      <c r="E73" s="234"/>
      <c r="F73" s="234">
        <v>66000</v>
      </c>
      <c r="G73" s="234">
        <v>66000</v>
      </c>
      <c r="H73" s="234">
        <v>66000</v>
      </c>
    </row>
    <row r="74" spans="1:8" s="312" customFormat="1" x14ac:dyDescent="0.3">
      <c r="A74" s="101"/>
      <c r="B74" s="102"/>
      <c r="C74" s="234"/>
      <c r="D74" s="232"/>
      <c r="E74" s="234"/>
      <c r="F74" s="234"/>
      <c r="G74" s="234"/>
      <c r="H74" s="234"/>
    </row>
    <row r="75" spans="1:8" ht="37.5" x14ac:dyDescent="0.3">
      <c r="A75" s="315">
        <v>53120</v>
      </c>
      <c r="B75" s="322" t="s">
        <v>300</v>
      </c>
      <c r="C75" s="309">
        <v>60052</v>
      </c>
      <c r="D75" s="309">
        <v>23353</v>
      </c>
      <c r="E75" s="309">
        <f ca="1">SUM(OFFSET(E78,-1,0):OFFSET(E75,1,0))</f>
        <v>0</v>
      </c>
      <c r="F75" s="309">
        <f ca="1">SUM(OFFSET(F78,-1,0):OFFSET(F75,1,0))</f>
        <v>0</v>
      </c>
      <c r="G75" s="309">
        <f ca="1">SUM(OFFSET(G78,-1,0):OFFSET(G75,1,0))</f>
        <v>0</v>
      </c>
      <c r="H75" s="309">
        <f ca="1">SUM(OFFSET(H78,-1,0):OFFSET(H75,1,0))</f>
        <v>0</v>
      </c>
    </row>
    <row r="76" spans="1:8" s="312" customFormat="1" hidden="1" x14ac:dyDescent="0.3">
      <c r="A76" s="101"/>
      <c r="B76" s="102"/>
      <c r="C76" s="234"/>
      <c r="D76" s="232"/>
      <c r="E76" s="234"/>
      <c r="F76" s="234"/>
      <c r="G76" s="234"/>
      <c r="H76" s="234"/>
    </row>
    <row r="77" spans="1:8" s="312" customFormat="1" x14ac:dyDescent="0.3">
      <c r="A77" s="101"/>
      <c r="B77" s="102"/>
      <c r="C77" s="234"/>
      <c r="D77" s="232"/>
      <c r="E77" s="234"/>
      <c r="F77" s="234"/>
      <c r="G77" s="234"/>
      <c r="H77" s="234"/>
    </row>
    <row r="78" spans="1:8" ht="22.5" x14ac:dyDescent="0.3">
      <c r="A78" s="315">
        <v>53200</v>
      </c>
      <c r="B78" s="316" t="s">
        <v>569</v>
      </c>
      <c r="C78" s="309">
        <f ca="1">SUM(OFFSET(C81,-1,0):OFFSET(C78,1,0))</f>
        <v>0</v>
      </c>
      <c r="D78" s="309">
        <f ca="1">SUM(OFFSET(D81,-1,0):OFFSET(D78,1,0))</f>
        <v>0</v>
      </c>
      <c r="E78" s="309">
        <f ca="1">SUM(OFFSET(E81,-1,0):OFFSET(E78,1,0))</f>
        <v>0</v>
      </c>
      <c r="F78" s="309">
        <f ca="1">SUM(OFFSET(F81,-1,0):OFFSET(F78,1,0))</f>
        <v>0</v>
      </c>
      <c r="G78" s="309">
        <f ca="1">SUM(OFFSET(G81,-1,0):OFFSET(G78,1,0))</f>
        <v>0</v>
      </c>
      <c r="H78" s="309">
        <f ca="1">SUM(OFFSET(H81,-1,0):OFFSET(H78,1,0))</f>
        <v>0</v>
      </c>
    </row>
    <row r="79" spans="1:8" s="312" customFormat="1" hidden="1" x14ac:dyDescent="0.3">
      <c r="A79" s="101"/>
      <c r="B79" s="103"/>
      <c r="C79" s="234"/>
      <c r="D79" s="232"/>
      <c r="E79" s="234"/>
      <c r="F79" s="234"/>
      <c r="G79" s="234"/>
      <c r="H79" s="234"/>
    </row>
    <row r="80" spans="1:8" s="312" customFormat="1" x14ac:dyDescent="0.3">
      <c r="A80" s="101"/>
      <c r="B80" s="103"/>
      <c r="C80" s="234"/>
      <c r="D80" s="232"/>
      <c r="E80" s="234"/>
      <c r="F80" s="234"/>
      <c r="G80" s="234"/>
      <c r="H80" s="234"/>
    </row>
    <row r="81" spans="1:8" ht="22.5" x14ac:dyDescent="0.3">
      <c r="A81" s="315">
        <v>53300</v>
      </c>
      <c r="B81" s="316" t="s">
        <v>570</v>
      </c>
      <c r="C81" s="309">
        <f ca="1">SUM(OFFSET(C84,-1,0):OFFSET(C81,1,0))</f>
        <v>0</v>
      </c>
      <c r="D81" s="309">
        <v>40488</v>
      </c>
      <c r="E81" s="309">
        <f ca="1">SUM(OFFSET(E84,-1,0):OFFSET(E81,1,0))</f>
        <v>0</v>
      </c>
      <c r="F81" s="309">
        <f ca="1">SUM(OFFSET(F84,-1,0):OFFSET(F81,1,0))</f>
        <v>0</v>
      </c>
      <c r="G81" s="309">
        <f ca="1">SUM(OFFSET(G84,-1,0):OFFSET(G81,1,0))</f>
        <v>0</v>
      </c>
      <c r="H81" s="309">
        <f ca="1">SUM(OFFSET(H84,-1,0):OFFSET(H81,1,0))</f>
        <v>0</v>
      </c>
    </row>
    <row r="82" spans="1:8" s="312" customFormat="1" hidden="1" x14ac:dyDescent="0.3">
      <c r="A82" s="101"/>
      <c r="B82" s="103"/>
      <c r="C82" s="234"/>
      <c r="D82" s="232"/>
      <c r="E82" s="234"/>
      <c r="F82" s="234"/>
      <c r="G82" s="234"/>
      <c r="H82" s="234"/>
    </row>
    <row r="83" spans="1:8" s="312" customFormat="1" x14ac:dyDescent="0.3">
      <c r="A83" s="101"/>
      <c r="B83" s="103"/>
      <c r="C83" s="234"/>
      <c r="D83" s="232"/>
      <c r="E83" s="234"/>
      <c r="F83" s="234"/>
      <c r="G83" s="234"/>
      <c r="H83" s="234"/>
    </row>
    <row r="84" spans="1:8" ht="41.25" x14ac:dyDescent="0.3">
      <c r="A84" s="315">
        <v>53400</v>
      </c>
      <c r="B84" s="316" t="s">
        <v>571</v>
      </c>
      <c r="C84" s="309">
        <f ca="1">SUM(OFFSET(C90,-1,0):OFFSET(C84,1,0))</f>
        <v>0</v>
      </c>
      <c r="D84" s="309">
        <v>27080</v>
      </c>
      <c r="E84" s="309">
        <f>SUM(E85:E89)</f>
        <v>10487</v>
      </c>
      <c r="F84" s="309">
        <f>SUM(F85:F89)</f>
        <v>10975</v>
      </c>
      <c r="G84" s="309">
        <f>SUM(G85:G89)</f>
        <v>16462</v>
      </c>
      <c r="H84" s="309">
        <f>SUM(H85:H89)</f>
        <v>21950</v>
      </c>
    </row>
    <row r="85" spans="1:8" s="312" customFormat="1" x14ac:dyDescent="0.3">
      <c r="A85" s="101"/>
      <c r="B85" s="103" t="s">
        <v>658</v>
      </c>
      <c r="C85" s="234"/>
      <c r="D85" s="232"/>
      <c r="E85" s="234">
        <v>5000</v>
      </c>
      <c r="F85" s="234"/>
      <c r="G85" s="234"/>
      <c r="H85" s="234"/>
    </row>
    <row r="86" spans="1:8" s="312" customFormat="1" x14ac:dyDescent="0.3">
      <c r="A86" s="101"/>
      <c r="B86" s="103" t="s">
        <v>659</v>
      </c>
      <c r="C86" s="234"/>
      <c r="D86" s="232"/>
      <c r="E86" s="234">
        <v>1425</v>
      </c>
      <c r="F86" s="234">
        <v>2850</v>
      </c>
      <c r="G86" s="234">
        <v>4275</v>
      </c>
      <c r="H86" s="234">
        <v>5700</v>
      </c>
    </row>
    <row r="87" spans="1:8" s="312" customFormat="1" x14ac:dyDescent="0.3">
      <c r="A87" s="101"/>
      <c r="B87" s="103" t="s">
        <v>660</v>
      </c>
      <c r="C87" s="234"/>
      <c r="D87" s="232"/>
      <c r="E87" s="234">
        <v>962</v>
      </c>
      <c r="F87" s="234">
        <v>1925</v>
      </c>
      <c r="G87" s="234">
        <v>2887</v>
      </c>
      <c r="H87" s="234">
        <v>3850</v>
      </c>
    </row>
    <row r="88" spans="1:8" s="312" customFormat="1" x14ac:dyDescent="0.3">
      <c r="A88" s="101"/>
      <c r="B88" s="103" t="s">
        <v>661</v>
      </c>
      <c r="C88" s="234"/>
      <c r="D88" s="232"/>
      <c r="E88" s="234">
        <v>1500</v>
      </c>
      <c r="F88" s="234">
        <v>3000</v>
      </c>
      <c r="G88" s="234">
        <v>4500</v>
      </c>
      <c r="H88" s="234">
        <v>6000</v>
      </c>
    </row>
    <row r="89" spans="1:8" s="312" customFormat="1" x14ac:dyDescent="0.3">
      <c r="A89" s="101"/>
      <c r="B89" s="103" t="s">
        <v>662</v>
      </c>
      <c r="C89" s="234"/>
      <c r="D89" s="232">
        <v>0</v>
      </c>
      <c r="E89" s="234">
        <v>1600</v>
      </c>
      <c r="F89" s="234">
        <v>3200</v>
      </c>
      <c r="G89" s="234">
        <v>4800</v>
      </c>
      <c r="H89" s="234">
        <v>6400</v>
      </c>
    </row>
    <row r="90" spans="1:8" ht="41.25" hidden="1" x14ac:dyDescent="0.3">
      <c r="A90" s="315">
        <v>53500</v>
      </c>
      <c r="B90" s="316" t="s">
        <v>572</v>
      </c>
      <c r="C90" s="309">
        <f ca="1">SUM(OFFSET(C93,-1,0):OFFSET(C90,1,0))</f>
        <v>0</v>
      </c>
      <c r="D90" s="309">
        <f ca="1">SUM(OFFSET(D93,-1,0):OFFSET(D90,1,0))</f>
        <v>0</v>
      </c>
      <c r="E90" s="309">
        <f ca="1">SUM(OFFSET(E93,-1,0):OFFSET(E90,1,0))</f>
        <v>0</v>
      </c>
      <c r="F90" s="309">
        <f ca="1">SUM(OFFSET(F93,-1,0):OFFSET(F90,1,0))</f>
        <v>0</v>
      </c>
      <c r="G90" s="309">
        <f ca="1">SUM(OFFSET(G93,-1,0):OFFSET(G90,1,0))</f>
        <v>0</v>
      </c>
      <c r="H90" s="309">
        <f ca="1">SUM(OFFSET(H93,-1,0):OFFSET(H90,1,0))</f>
        <v>0</v>
      </c>
    </row>
    <row r="91" spans="1:8" s="312" customFormat="1" hidden="1" x14ac:dyDescent="0.3">
      <c r="A91" s="101"/>
      <c r="B91" s="103"/>
      <c r="C91" s="234"/>
      <c r="D91" s="232"/>
      <c r="E91" s="234"/>
      <c r="F91" s="234"/>
      <c r="G91" s="234"/>
      <c r="H91" s="234"/>
    </row>
    <row r="92" spans="1:8" s="312" customFormat="1" hidden="1" x14ac:dyDescent="0.3">
      <c r="A92" s="105"/>
      <c r="B92" s="106"/>
      <c r="C92" s="234"/>
      <c r="D92" s="232"/>
      <c r="E92" s="234"/>
      <c r="F92" s="234"/>
      <c r="G92" s="234"/>
      <c r="H92" s="234"/>
    </row>
    <row r="93" spans="1:8" ht="41.25" hidden="1" x14ac:dyDescent="0.3">
      <c r="A93" s="317">
        <v>53600</v>
      </c>
      <c r="B93" s="318" t="s">
        <v>573</v>
      </c>
      <c r="C93" s="309">
        <f ca="1">SUM(OFFSET(C96,-1,0):OFFSET(C93,1,0))</f>
        <v>0</v>
      </c>
      <c r="D93" s="309">
        <f ca="1">SUM(OFFSET(D96,-1,0):OFFSET(D93,1,0))</f>
        <v>0</v>
      </c>
      <c r="E93" s="309">
        <f ca="1">SUM(OFFSET(E96,-1,0):OFFSET(E93,1,0))</f>
        <v>0</v>
      </c>
      <c r="F93" s="309">
        <f ca="1">SUM(OFFSET(F96,-1,0):OFFSET(F93,1,0))</f>
        <v>0</v>
      </c>
      <c r="G93" s="309">
        <f ca="1">SUM(OFFSET(G96,-1,0):OFFSET(G93,1,0))</f>
        <v>0</v>
      </c>
      <c r="H93" s="309">
        <f ca="1">SUM(OFFSET(H96,-1,0):OFFSET(H93,1,0))</f>
        <v>0</v>
      </c>
    </row>
    <row r="94" spans="1:8" s="312" customFormat="1" hidden="1" x14ac:dyDescent="0.3">
      <c r="A94" s="99"/>
      <c r="B94" s="100"/>
      <c r="C94" s="234"/>
      <c r="D94" s="232"/>
      <c r="E94" s="234"/>
      <c r="F94" s="234"/>
      <c r="G94" s="234"/>
      <c r="H94" s="234"/>
    </row>
    <row r="95" spans="1:8" s="312" customFormat="1" hidden="1" x14ac:dyDescent="0.3">
      <c r="A95" s="99"/>
      <c r="B95" s="100"/>
      <c r="C95" s="234"/>
      <c r="D95" s="232"/>
      <c r="E95" s="234"/>
      <c r="F95" s="234"/>
      <c r="G95" s="234"/>
      <c r="H95" s="234"/>
    </row>
    <row r="96" spans="1:8" x14ac:dyDescent="0.3">
      <c r="A96" s="162">
        <v>50000</v>
      </c>
      <c r="B96" s="144" t="s">
        <v>298</v>
      </c>
      <c r="C96" s="323">
        <f t="shared" ref="C96" ca="1" si="2">C3+C24+C16</f>
        <v>788931</v>
      </c>
      <c r="D96" s="323">
        <f ca="1">D3+D24+D16</f>
        <v>1784741</v>
      </c>
      <c r="E96" s="323">
        <f ca="1">E3+E24+E16</f>
        <v>306298</v>
      </c>
      <c r="F96" s="323">
        <f ca="1">F3+F24+F16</f>
        <v>773799</v>
      </c>
      <c r="G96" s="323">
        <f ca="1">G3+G24+G16</f>
        <v>835036</v>
      </c>
      <c r="H96" s="323">
        <f ca="1">H3+H24+H16</f>
        <v>898524</v>
      </c>
    </row>
    <row r="97" spans="1:4" x14ac:dyDescent="0.3">
      <c r="A97" s="324"/>
      <c r="B97" s="325"/>
      <c r="C97" s="326"/>
    </row>
    <row r="98" spans="1:4" x14ac:dyDescent="0.3">
      <c r="A98" s="327" t="s">
        <v>294</v>
      </c>
      <c r="B98" s="328"/>
      <c r="C98" s="328"/>
      <c r="D98" s="328"/>
    </row>
    <row r="99" spans="1:4" ht="61.5" customHeight="1" x14ac:dyDescent="0.3">
      <c r="A99" s="421" t="s">
        <v>587</v>
      </c>
      <c r="B99" s="422"/>
      <c r="C99" s="422"/>
      <c r="D99" s="422"/>
    </row>
    <row r="100" spans="1:4" x14ac:dyDescent="0.3">
      <c r="A100" s="421" t="s">
        <v>545</v>
      </c>
      <c r="B100" s="422"/>
      <c r="C100" s="422"/>
      <c r="D100" s="422"/>
    </row>
    <row r="101" spans="1:4" x14ac:dyDescent="0.3">
      <c r="A101" s="423" t="s">
        <v>546</v>
      </c>
      <c r="B101" s="424"/>
      <c r="C101" s="424"/>
      <c r="D101" s="424"/>
    </row>
    <row r="102" spans="1:4" x14ac:dyDescent="0.3">
      <c r="A102" s="423" t="s">
        <v>547</v>
      </c>
      <c r="B102" s="424"/>
      <c r="C102" s="424"/>
      <c r="D102" s="424"/>
    </row>
    <row r="103" spans="1:4" x14ac:dyDescent="0.3">
      <c r="A103" s="421" t="s">
        <v>548</v>
      </c>
      <c r="B103" s="422"/>
      <c r="C103" s="422"/>
      <c r="D103" s="422"/>
    </row>
    <row r="104" spans="1:4" x14ac:dyDescent="0.3">
      <c r="A104" s="421" t="s">
        <v>549</v>
      </c>
      <c r="B104" s="422"/>
      <c r="C104" s="422"/>
      <c r="D104" s="422"/>
    </row>
    <row r="105" spans="1:4" x14ac:dyDescent="0.3">
      <c r="A105" s="329" t="s">
        <v>550</v>
      </c>
    </row>
    <row r="106" spans="1:4" x14ac:dyDescent="0.3">
      <c r="A106" s="421" t="s">
        <v>551</v>
      </c>
      <c r="B106" s="422"/>
      <c r="C106" s="422"/>
      <c r="D106" s="422"/>
    </row>
    <row r="107" spans="1:4" x14ac:dyDescent="0.3">
      <c r="A107" s="423" t="s">
        <v>552</v>
      </c>
      <c r="B107" s="424"/>
      <c r="C107" s="424"/>
      <c r="D107" s="424"/>
    </row>
    <row r="108" spans="1:4" x14ac:dyDescent="0.3">
      <c r="A108" s="421" t="s">
        <v>553</v>
      </c>
      <c r="B108" s="422"/>
      <c r="C108" s="422"/>
      <c r="D108" s="422"/>
    </row>
    <row r="109" spans="1:4" x14ac:dyDescent="0.3">
      <c r="A109" s="421" t="s">
        <v>554</v>
      </c>
      <c r="B109" s="422"/>
      <c r="C109" s="422"/>
      <c r="D109" s="422"/>
    </row>
    <row r="110" spans="1:4" x14ac:dyDescent="0.3">
      <c r="A110" s="421" t="s">
        <v>555</v>
      </c>
      <c r="B110" s="422"/>
      <c r="C110" s="422"/>
      <c r="D110" s="422"/>
    </row>
    <row r="111" spans="1:4" x14ac:dyDescent="0.3">
      <c r="A111" s="421" t="s">
        <v>556</v>
      </c>
      <c r="B111" s="422"/>
      <c r="C111" s="422"/>
      <c r="D111" s="422"/>
    </row>
    <row r="112" spans="1:4" x14ac:dyDescent="0.3">
      <c r="A112" s="421" t="s">
        <v>557</v>
      </c>
      <c r="B112" s="422"/>
      <c r="C112" s="422"/>
      <c r="D112" s="422"/>
    </row>
    <row r="113" spans="1:4" x14ac:dyDescent="0.3">
      <c r="A113" s="421" t="s">
        <v>558</v>
      </c>
      <c r="B113" s="422"/>
      <c r="C113" s="422"/>
      <c r="D113" s="422"/>
    </row>
    <row r="114" spans="1:4" x14ac:dyDescent="0.3">
      <c r="A114" s="425" t="s">
        <v>544</v>
      </c>
      <c r="B114" s="425"/>
      <c r="C114" s="425"/>
      <c r="D114" s="425"/>
    </row>
    <row r="115" spans="1:4" x14ac:dyDescent="0.3">
      <c r="A115" s="330"/>
      <c r="B115" s="330"/>
      <c r="C115" s="330"/>
      <c r="D115" s="330"/>
    </row>
  </sheetData>
  <mergeCells count="15">
    <mergeCell ref="A110:D110"/>
    <mergeCell ref="A111:D111"/>
    <mergeCell ref="A112:D112"/>
    <mergeCell ref="A113:D113"/>
    <mergeCell ref="A114:D114"/>
    <mergeCell ref="A104:D104"/>
    <mergeCell ref="A106:D106"/>
    <mergeCell ref="A107:D107"/>
    <mergeCell ref="A108:D108"/>
    <mergeCell ref="A109:D109"/>
    <mergeCell ref="A99:D99"/>
    <mergeCell ref="A100:D100"/>
    <mergeCell ref="A101:D101"/>
    <mergeCell ref="A102:D102"/>
    <mergeCell ref="A103:D103"/>
  </mergeCells>
  <pageMargins left="0.7" right="0.7" top="0.75" bottom="0.75" header="0.3" footer="0.3"/>
  <pageSetup paperSize="9" scale="6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1</vt:i4>
      </vt:variant>
    </vt:vector>
  </HeadingPairs>
  <TitlesOfParts>
    <vt:vector size="7" baseType="lpstr">
      <vt:lpstr>Budžeta_tāme</vt:lpstr>
      <vt:lpstr>Naudas plūsma</vt:lpstr>
      <vt:lpstr>Naturālie_rādītāji</vt:lpstr>
      <vt:lpstr>PZ_aprēķins</vt:lpstr>
      <vt:lpstr>Bilance</vt:lpstr>
      <vt:lpstr>Ieguldījumu_tāme</vt:lpstr>
      <vt:lpstr>Budžeta_tāme!Drukas_apgabals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2020-03-17T13:12:24Z</cp:lastPrinted>
  <dcterms:created xsi:type="dcterms:W3CDTF">2015-06-08T06:33:04Z</dcterms:created>
  <dcterms:modified xsi:type="dcterms:W3CDTF">2021-03-22T10:13:26Z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