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Šī_darbgrāmata"/>
  <mc:AlternateContent xmlns:mc="http://schemas.openxmlformats.org/markup-compatibility/2006">
    <mc:Choice Requires="x15">
      <x15ac:absPath xmlns:x15ac="http://schemas.microsoft.com/office/spreadsheetml/2010/11/ac" url="D:\Dokumenti\2020 gads\budzets\IV_cet_budzeta_izpilde\"/>
    </mc:Choice>
  </mc:AlternateContent>
  <xr:revisionPtr revIDLastSave="0" documentId="8_{5C32E515-B1CF-4A45-8307-EBAC949AE7EC}" xr6:coauthVersionLast="46" xr6:coauthVersionMax="46" xr10:uidLastSave="{00000000-0000-0000-0000-000000000000}"/>
  <bookViews>
    <workbookView xWindow="28680" yWindow="-120" windowWidth="29040" windowHeight="15840" activeTab="4" xr2:uid="{00000000-000D-0000-FFFF-FFFF00000000}"/>
  </bookViews>
  <sheets>
    <sheet name="Budžeta_tāme" sheetId="2" r:id="rId1"/>
    <sheet name="PZ_aprēķins" sheetId="12" r:id="rId2"/>
    <sheet name="Bilance" sheetId="11" r:id="rId3"/>
    <sheet name="Naudas_plūsma" sheetId="5" r:id="rId4"/>
    <sheet name="Naturālie_rādītāji" sheetId="10" r:id="rId5"/>
    <sheet name="Ieguldījumu_tāme" sheetId="9" r:id="rId6"/>
    <sheet name="Kreditori_Debitori" sheetId="14" r:id="rId7"/>
  </sheets>
  <externalReferences>
    <externalReference r:id="rId8"/>
  </externalReferences>
  <definedNames>
    <definedName name="dff">#NAME?</definedName>
    <definedName name="_xlnm.Print_Area" localSheetId="0">Budžeta_tāme!$A$1:$G$33</definedName>
    <definedName name="_xlnm.Print_Area" localSheetId="4">Naturālie_rādītāji!$A$1:$M$106</definedName>
    <definedName name="_xlnm.Print_Area" localSheetId="3">Naudas_plūsma!$A$1:$M$143</definedName>
    <definedName name="_xlnm.Print_Titles" localSheetId="0">Budžeta_tāme!$1:$2</definedName>
    <definedName name="_xlnm.Print_Titles" localSheetId="4">Naturālie_rādītāji!$1:$2</definedName>
    <definedName name="_xlnm.Print_Titles" localSheetId="3">Naudas_plūsma!$1:$2</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2" l="1"/>
  <c r="H188" i="2"/>
  <c r="H66" i="2"/>
  <c r="C30" i="14"/>
  <c r="C17" i="14"/>
  <c r="G82" i="2"/>
  <c r="G189" i="2"/>
  <c r="G141" i="2"/>
  <c r="G33" i="2"/>
  <c r="G32" i="2"/>
  <c r="G30" i="2"/>
  <c r="G29" i="2"/>
  <c r="G7" i="2"/>
  <c r="G6" i="2"/>
  <c r="G78" i="2"/>
  <c r="G181" i="2"/>
  <c r="G69" i="5"/>
  <c r="C39" i="14" l="1"/>
  <c r="C49" i="14"/>
  <c r="C101" i="14"/>
  <c r="L109" i="9"/>
  <c r="K109" i="9"/>
  <c r="I109" i="9"/>
  <c r="H109" i="9"/>
  <c r="L107" i="9"/>
  <c r="K107" i="9"/>
  <c r="H107" i="9"/>
  <c r="I107" i="9" s="1"/>
  <c r="G106" i="9"/>
  <c r="H106" i="9" s="1"/>
  <c r="I106" i="9" s="1"/>
  <c r="K105" i="9"/>
  <c r="L105" i="9" s="1"/>
  <c r="H105" i="9"/>
  <c r="I105" i="9" s="1"/>
  <c r="K103" i="9"/>
  <c r="L103" i="9" s="1"/>
  <c r="H103" i="9"/>
  <c r="I103" i="9" s="1"/>
  <c r="G102" i="9"/>
  <c r="K102" i="9" s="1"/>
  <c r="L102" i="9" s="1"/>
  <c r="L101" i="9"/>
  <c r="K101" i="9"/>
  <c r="I101" i="9"/>
  <c r="H101" i="9"/>
  <c r="L95" i="9"/>
  <c r="K95" i="9"/>
  <c r="H95" i="9"/>
  <c r="I95" i="9" s="1"/>
  <c r="G94" i="9"/>
  <c r="K94" i="9" s="1"/>
  <c r="L94" i="9" s="1"/>
  <c r="K93" i="9"/>
  <c r="L93" i="9" s="1"/>
  <c r="H93" i="9"/>
  <c r="I93" i="9" s="1"/>
  <c r="K80" i="9"/>
  <c r="L80" i="9" s="1"/>
  <c r="H80" i="9"/>
  <c r="I80" i="9" s="1"/>
  <c r="G79" i="9"/>
  <c r="K79" i="9" s="1"/>
  <c r="L79" i="9" s="1"/>
  <c r="L78" i="9"/>
  <c r="K78" i="9"/>
  <c r="I78" i="9"/>
  <c r="H78" i="9"/>
  <c r="L76" i="9"/>
  <c r="K76" i="9"/>
  <c r="H76" i="9"/>
  <c r="I76" i="9" s="1"/>
  <c r="G75" i="9"/>
  <c r="H75" i="9" s="1"/>
  <c r="I75" i="9" s="1"/>
  <c r="K74" i="9"/>
  <c r="L74" i="9" s="1"/>
  <c r="H74" i="9"/>
  <c r="I74" i="9" s="1"/>
  <c r="K71" i="9"/>
  <c r="L71" i="9" s="1"/>
  <c r="H71" i="9"/>
  <c r="I71" i="9" s="1"/>
  <c r="G70" i="9"/>
  <c r="K70" i="9" s="1"/>
  <c r="L70" i="9" s="1"/>
  <c r="L27" i="9"/>
  <c r="K27" i="9"/>
  <c r="I27" i="9"/>
  <c r="H27" i="9"/>
  <c r="G26" i="9"/>
  <c r="K26" i="9" s="1"/>
  <c r="L26" i="9" s="1"/>
  <c r="K23" i="9"/>
  <c r="L23" i="9" s="1"/>
  <c r="H23" i="9"/>
  <c r="I23" i="9" s="1"/>
  <c r="K22" i="9"/>
  <c r="L22" i="9" s="1"/>
  <c r="H22" i="9"/>
  <c r="I22" i="9" s="1"/>
  <c r="K21" i="9"/>
  <c r="L21" i="9" s="1"/>
  <c r="H21" i="9"/>
  <c r="I21" i="9" s="1"/>
  <c r="K20" i="9"/>
  <c r="L20" i="9" s="1"/>
  <c r="H20" i="9"/>
  <c r="I20" i="9" s="1"/>
  <c r="K19" i="9"/>
  <c r="L19" i="9" s="1"/>
  <c r="H19" i="9"/>
  <c r="I19" i="9" s="1"/>
  <c r="K18" i="9"/>
  <c r="L18" i="9" s="1"/>
  <c r="H18" i="9"/>
  <c r="I18" i="9" s="1"/>
  <c r="K17" i="9"/>
  <c r="L17" i="9" s="1"/>
  <c r="H17" i="9"/>
  <c r="I17" i="9" s="1"/>
  <c r="G16" i="9"/>
  <c r="K16" i="9" s="1"/>
  <c r="L16" i="9" s="1"/>
  <c r="L15" i="9"/>
  <c r="K15" i="9"/>
  <c r="I15" i="9"/>
  <c r="H15" i="9"/>
  <c r="L14" i="9"/>
  <c r="K14" i="9"/>
  <c r="I14" i="9"/>
  <c r="H14" i="9"/>
  <c r="G13" i="9"/>
  <c r="K13" i="9" s="1"/>
  <c r="L13" i="9" s="1"/>
  <c r="K12" i="9"/>
  <c r="L12" i="9" s="1"/>
  <c r="H12" i="9"/>
  <c r="I12" i="9" s="1"/>
  <c r="K11" i="9"/>
  <c r="L11" i="9" s="1"/>
  <c r="H11" i="9"/>
  <c r="I11" i="9" s="1"/>
  <c r="G10" i="9"/>
  <c r="K10" i="9" s="1"/>
  <c r="L10" i="9" s="1"/>
  <c r="L9" i="9"/>
  <c r="K9" i="9"/>
  <c r="I9" i="9"/>
  <c r="H9" i="9"/>
  <c r="L8" i="9"/>
  <c r="K8" i="9"/>
  <c r="I8" i="9"/>
  <c r="H8" i="9"/>
  <c r="G7" i="9"/>
  <c r="H7" i="9" s="1"/>
  <c r="I7" i="9" s="1"/>
  <c r="K6" i="9"/>
  <c r="L6" i="9" s="1"/>
  <c r="H6" i="9"/>
  <c r="I6" i="9" s="1"/>
  <c r="K5" i="9"/>
  <c r="L5" i="9" s="1"/>
  <c r="H5" i="9"/>
  <c r="I5" i="9" s="1"/>
  <c r="G4" i="9"/>
  <c r="H10" i="9" l="1"/>
  <c r="I10" i="9" s="1"/>
  <c r="H16" i="9"/>
  <c r="I16" i="9" s="1"/>
  <c r="G3" i="9"/>
  <c r="H3" i="9" s="1"/>
  <c r="I3" i="9" s="1"/>
  <c r="K4" i="9"/>
  <c r="L4" i="9" s="1"/>
  <c r="H4" i="9"/>
  <c r="I4" i="9" s="1"/>
  <c r="H70" i="9"/>
  <c r="I70" i="9" s="1"/>
  <c r="H79" i="9"/>
  <c r="I79" i="9" s="1"/>
  <c r="H102" i="9"/>
  <c r="I102" i="9" s="1"/>
  <c r="K7" i="9"/>
  <c r="L7" i="9" s="1"/>
  <c r="H13" i="9"/>
  <c r="I13" i="9" s="1"/>
  <c r="H26" i="9"/>
  <c r="I26" i="9" s="1"/>
  <c r="K75" i="9"/>
  <c r="L75" i="9" s="1"/>
  <c r="H94" i="9"/>
  <c r="I94" i="9" s="1"/>
  <c r="K106" i="9"/>
  <c r="L106" i="9" s="1"/>
  <c r="G25" i="9"/>
  <c r="K3" i="9" l="1"/>
  <c r="L3" i="9" s="1"/>
  <c r="K25" i="9"/>
  <c r="L25" i="9" s="1"/>
  <c r="G24" i="9"/>
  <c r="H25" i="9"/>
  <c r="I25" i="9" s="1"/>
  <c r="H24" i="9" l="1"/>
  <c r="I24" i="9" s="1"/>
  <c r="K24" i="9"/>
  <c r="L24" i="9" s="1"/>
  <c r="G110" i="9"/>
  <c r="K110" i="9" l="1"/>
  <c r="L110" i="9" s="1"/>
  <c r="H110" i="9"/>
  <c r="I110" i="9" s="1"/>
  <c r="F58" i="11" l="1"/>
  <c r="D58" i="11"/>
  <c r="F57" i="11"/>
  <c r="D57" i="11"/>
  <c r="K53" i="11"/>
  <c r="L53" i="11" s="1"/>
  <c r="I53" i="11"/>
  <c r="H53" i="11"/>
  <c r="K52" i="11"/>
  <c r="L52" i="11" s="1"/>
  <c r="H52" i="11"/>
  <c r="I52" i="11" s="1"/>
  <c r="K51" i="11"/>
  <c r="L51" i="11" s="1"/>
  <c r="H51" i="11"/>
  <c r="I51" i="11" s="1"/>
  <c r="K50" i="11"/>
  <c r="L50" i="11" s="1"/>
  <c r="H50" i="11"/>
  <c r="I50" i="11" s="1"/>
  <c r="K49" i="11"/>
  <c r="L49" i="11" s="1"/>
  <c r="H49" i="11"/>
  <c r="I49" i="11" s="1"/>
  <c r="K48" i="11"/>
  <c r="L48" i="11" s="1"/>
  <c r="I48" i="11"/>
  <c r="H48" i="11"/>
  <c r="G47" i="11"/>
  <c r="H47" i="11" s="1"/>
  <c r="I47" i="11" s="1"/>
  <c r="K46" i="11"/>
  <c r="L46" i="11" s="1"/>
  <c r="H46" i="11"/>
  <c r="I46" i="11" s="1"/>
  <c r="K45" i="11"/>
  <c r="L45" i="11" s="1"/>
  <c r="H45" i="11"/>
  <c r="I45" i="11" s="1"/>
  <c r="K44" i="11"/>
  <c r="L44" i="11" s="1"/>
  <c r="H44" i="11"/>
  <c r="I44" i="11" s="1"/>
  <c r="G43" i="11"/>
  <c r="K43" i="11" s="1"/>
  <c r="L43" i="11" s="1"/>
  <c r="K41" i="11"/>
  <c r="L41" i="11" s="1"/>
  <c r="H41" i="11"/>
  <c r="I41" i="11" s="1"/>
  <c r="K40" i="11"/>
  <c r="L40" i="11" s="1"/>
  <c r="H40" i="11"/>
  <c r="I40" i="11" s="1"/>
  <c r="G39" i="11"/>
  <c r="K39" i="11" s="1"/>
  <c r="L39" i="11" s="1"/>
  <c r="K38" i="11"/>
  <c r="L38" i="11" s="1"/>
  <c r="H38" i="11"/>
  <c r="I38" i="11" s="1"/>
  <c r="K37" i="11"/>
  <c r="L37" i="11" s="1"/>
  <c r="H37" i="11"/>
  <c r="I37" i="11" s="1"/>
  <c r="K36" i="11"/>
  <c r="L36" i="11" s="1"/>
  <c r="H36" i="11"/>
  <c r="I36" i="11" s="1"/>
  <c r="K35" i="11"/>
  <c r="L35" i="11" s="1"/>
  <c r="H35" i="11"/>
  <c r="I35" i="11" s="1"/>
  <c r="K34" i="11"/>
  <c r="L34" i="11" s="1"/>
  <c r="I34" i="11"/>
  <c r="H34" i="11"/>
  <c r="K33" i="11"/>
  <c r="L33" i="11" s="1"/>
  <c r="H33" i="11"/>
  <c r="I33" i="11" s="1"/>
  <c r="G32" i="11"/>
  <c r="H32" i="11" s="1"/>
  <c r="I32" i="11" s="1"/>
  <c r="K31" i="11"/>
  <c r="L31" i="11" s="1"/>
  <c r="H31" i="11"/>
  <c r="I31" i="11" s="1"/>
  <c r="K30" i="11"/>
  <c r="L30" i="11" s="1"/>
  <c r="H30" i="11"/>
  <c r="I30" i="11" s="1"/>
  <c r="G29" i="11"/>
  <c r="K29" i="11" s="1"/>
  <c r="L29" i="11" s="1"/>
  <c r="K25" i="11"/>
  <c r="L25" i="11" s="1"/>
  <c r="H25" i="11"/>
  <c r="I25" i="11" s="1"/>
  <c r="K24" i="11"/>
  <c r="L24" i="11" s="1"/>
  <c r="H24" i="11"/>
  <c r="I24" i="11" s="1"/>
  <c r="K23" i="11"/>
  <c r="L23" i="11" s="1"/>
  <c r="H23" i="11"/>
  <c r="I23" i="11" s="1"/>
  <c r="K22" i="11"/>
  <c r="L22" i="11" s="1"/>
  <c r="H22" i="11"/>
  <c r="I22" i="11" s="1"/>
  <c r="K21" i="11"/>
  <c r="L21" i="11" s="1"/>
  <c r="H21" i="11"/>
  <c r="I21" i="11" s="1"/>
  <c r="K20" i="11"/>
  <c r="L20" i="11" s="1"/>
  <c r="H20" i="11"/>
  <c r="I20" i="11" s="1"/>
  <c r="K19" i="11"/>
  <c r="L19" i="11" s="1"/>
  <c r="H19" i="11"/>
  <c r="I19" i="11" s="1"/>
  <c r="K18" i="11"/>
  <c r="L18" i="11" s="1"/>
  <c r="H18" i="11"/>
  <c r="I18" i="11" s="1"/>
  <c r="G17" i="11"/>
  <c r="G58" i="11" s="1"/>
  <c r="K16" i="11"/>
  <c r="L16" i="11" s="1"/>
  <c r="I16" i="11"/>
  <c r="H16" i="11"/>
  <c r="K15" i="11"/>
  <c r="L15" i="11" s="1"/>
  <c r="H15" i="11"/>
  <c r="I15" i="11" s="1"/>
  <c r="K14" i="11"/>
  <c r="L14" i="11" s="1"/>
  <c r="H14" i="11"/>
  <c r="I14" i="11" s="1"/>
  <c r="K13" i="11"/>
  <c r="L13" i="11" s="1"/>
  <c r="H13" i="11"/>
  <c r="I13" i="11" s="1"/>
  <c r="K12" i="11"/>
  <c r="L12" i="11" s="1"/>
  <c r="H12" i="11"/>
  <c r="I12" i="11" s="1"/>
  <c r="G11" i="11"/>
  <c r="K11" i="11" s="1"/>
  <c r="L11" i="11" s="1"/>
  <c r="K9" i="11"/>
  <c r="L9" i="11" s="1"/>
  <c r="H9" i="11"/>
  <c r="I9" i="11" s="1"/>
  <c r="K8" i="11"/>
  <c r="L8" i="11" s="1"/>
  <c r="H8" i="11"/>
  <c r="I8" i="11" s="1"/>
  <c r="K7" i="11"/>
  <c r="L7" i="11" s="1"/>
  <c r="H7" i="11"/>
  <c r="I7" i="11" s="1"/>
  <c r="G6" i="11"/>
  <c r="K6" i="11" s="1"/>
  <c r="L6" i="11" s="1"/>
  <c r="K5" i="11"/>
  <c r="L5" i="11" s="1"/>
  <c r="H5" i="11"/>
  <c r="I5" i="11" s="1"/>
  <c r="K4" i="11"/>
  <c r="L4" i="11" s="1"/>
  <c r="H4" i="11"/>
  <c r="I4" i="11" s="1"/>
  <c r="K21" i="12"/>
  <c r="L21" i="12" s="1"/>
  <c r="I21" i="12"/>
  <c r="H21" i="12"/>
  <c r="K20" i="12"/>
  <c r="L20" i="12" s="1"/>
  <c r="H20" i="12"/>
  <c r="I20" i="12" s="1"/>
  <c r="K19" i="12"/>
  <c r="L19" i="12" s="1"/>
  <c r="H19" i="12"/>
  <c r="I19" i="12" s="1"/>
  <c r="K18" i="12"/>
  <c r="L18" i="12" s="1"/>
  <c r="H18" i="12"/>
  <c r="I18" i="12" s="1"/>
  <c r="K17" i="12"/>
  <c r="L17" i="12" s="1"/>
  <c r="I17" i="12"/>
  <c r="H17" i="12"/>
  <c r="K16" i="12"/>
  <c r="L16" i="12" s="1"/>
  <c r="H16" i="12"/>
  <c r="I16" i="12" s="1"/>
  <c r="K14" i="12"/>
  <c r="L14" i="12" s="1"/>
  <c r="H14" i="12"/>
  <c r="I14" i="12" s="1"/>
  <c r="K13" i="12"/>
  <c r="L13" i="12" s="1"/>
  <c r="H13" i="12"/>
  <c r="I13" i="12" s="1"/>
  <c r="K12" i="12"/>
  <c r="L12" i="12" s="1"/>
  <c r="H12" i="12"/>
  <c r="I12" i="12" s="1"/>
  <c r="K11" i="12"/>
  <c r="L11" i="12" s="1"/>
  <c r="H11" i="12"/>
  <c r="I11" i="12" s="1"/>
  <c r="K10" i="12"/>
  <c r="L10" i="12" s="1"/>
  <c r="H10" i="12"/>
  <c r="I10" i="12" s="1"/>
  <c r="K9" i="12"/>
  <c r="L9" i="12" s="1"/>
  <c r="H9" i="12"/>
  <c r="I9" i="12" s="1"/>
  <c r="K8" i="12"/>
  <c r="L8" i="12" s="1"/>
  <c r="H8" i="12"/>
  <c r="I8" i="12" s="1"/>
  <c r="L7" i="12"/>
  <c r="H7" i="12"/>
  <c r="I7" i="12" s="1"/>
  <c r="K6" i="12"/>
  <c r="L6" i="12" s="1"/>
  <c r="H6" i="12"/>
  <c r="I6" i="12" s="1"/>
  <c r="G5" i="12"/>
  <c r="G15" i="12" s="1"/>
  <c r="F5" i="12"/>
  <c r="F15" i="12" s="1"/>
  <c r="F22" i="12" s="1"/>
  <c r="E5" i="12"/>
  <c r="E15" i="12" s="1"/>
  <c r="E22" i="12" s="1"/>
  <c r="D5" i="12"/>
  <c r="D15" i="12" s="1"/>
  <c r="D22" i="12" s="1"/>
  <c r="C5" i="12"/>
  <c r="C15" i="12" s="1"/>
  <c r="C22" i="12" s="1"/>
  <c r="K4" i="12"/>
  <c r="L4" i="12" s="1"/>
  <c r="H4" i="12"/>
  <c r="I4" i="12" s="1"/>
  <c r="K3" i="12"/>
  <c r="L3" i="12" s="1"/>
  <c r="H3" i="12"/>
  <c r="I3" i="12" s="1"/>
  <c r="D56" i="11" l="1"/>
  <c r="F56" i="11"/>
  <c r="H39" i="11"/>
  <c r="I39" i="11" s="1"/>
  <c r="K32" i="11"/>
  <c r="L32" i="11" s="1"/>
  <c r="H6" i="11"/>
  <c r="I6" i="11" s="1"/>
  <c r="K47" i="11"/>
  <c r="L47" i="11" s="1"/>
  <c r="H17" i="11"/>
  <c r="I17" i="11" s="1"/>
  <c r="K17" i="11"/>
  <c r="L17" i="11" s="1"/>
  <c r="K58" i="11"/>
  <c r="L58" i="11" s="1"/>
  <c r="H58" i="11"/>
  <c r="I58" i="11" s="1"/>
  <c r="G57" i="11"/>
  <c r="G3" i="11"/>
  <c r="H11" i="11"/>
  <c r="I11" i="11" s="1"/>
  <c r="H29" i="11"/>
  <c r="I29" i="11" s="1"/>
  <c r="H43" i="11"/>
  <c r="I43" i="11" s="1"/>
  <c r="G10" i="11"/>
  <c r="G28" i="11"/>
  <c r="G42" i="11"/>
  <c r="G22" i="12"/>
  <c r="H15" i="12"/>
  <c r="I15" i="12" s="1"/>
  <c r="K15" i="12"/>
  <c r="L15" i="12" s="1"/>
  <c r="K5" i="12"/>
  <c r="L5" i="12" s="1"/>
  <c r="H5" i="12"/>
  <c r="I5" i="12" s="1"/>
  <c r="K3" i="11" l="1"/>
  <c r="L3" i="11" s="1"/>
  <c r="H3" i="11"/>
  <c r="I3" i="11" s="1"/>
  <c r="K57" i="11"/>
  <c r="L57" i="11" s="1"/>
  <c r="H57" i="11"/>
  <c r="I57" i="11" s="1"/>
  <c r="G56" i="11"/>
  <c r="K28" i="11"/>
  <c r="L28" i="11" s="1"/>
  <c r="H28" i="11"/>
  <c r="I28" i="11" s="1"/>
  <c r="G26" i="11"/>
  <c r="K10" i="11"/>
  <c r="L10" i="11" s="1"/>
  <c r="H10" i="11"/>
  <c r="I10" i="11" s="1"/>
  <c r="G54" i="11"/>
  <c r="K42" i="11"/>
  <c r="L42" i="11" s="1"/>
  <c r="H42" i="11"/>
  <c r="I42" i="11" s="1"/>
  <c r="K22" i="12"/>
  <c r="L22" i="12" s="1"/>
  <c r="H22" i="12"/>
  <c r="I22" i="12" s="1"/>
  <c r="H26" i="11" l="1"/>
  <c r="I26" i="11" s="1"/>
  <c r="K26" i="11"/>
  <c r="L26" i="11" s="1"/>
  <c r="H54" i="11"/>
  <c r="I54" i="11" s="1"/>
  <c r="K54" i="11"/>
  <c r="L54" i="11" s="1"/>
  <c r="H56" i="11"/>
  <c r="I56" i="11" s="1"/>
  <c r="K56" i="11"/>
  <c r="L56" i="11" s="1"/>
  <c r="G138" i="5" l="1"/>
  <c r="G39" i="5"/>
  <c r="G42" i="2"/>
  <c r="G39" i="2"/>
  <c r="G28" i="2" l="1"/>
  <c r="G188" i="2"/>
  <c r="G186" i="2"/>
  <c r="G187" i="2"/>
  <c r="G142" i="2"/>
  <c r="G175" i="2"/>
  <c r="G126" i="2" l="1"/>
  <c r="G88" i="2"/>
  <c r="G14" i="2"/>
  <c r="G9" i="2"/>
  <c r="G54" i="10"/>
  <c r="F193" i="2" l="1"/>
  <c r="E189" i="2"/>
  <c r="E188" i="2"/>
  <c r="E186" i="2"/>
  <c r="E185" i="2"/>
  <c r="E181" i="2"/>
  <c r="E173" i="2" s="1"/>
  <c r="E167" i="2"/>
  <c r="E165" i="2" s="1"/>
  <c r="E158" i="2"/>
  <c r="E154" i="2"/>
  <c r="E151" i="2"/>
  <c r="E142" i="2"/>
  <c r="E140" i="2" s="1"/>
  <c r="E139" i="2" s="1"/>
  <c r="E138" i="2"/>
  <c r="E129" i="2"/>
  <c r="E124" i="2"/>
  <c r="E121" i="2"/>
  <c r="E115" i="2"/>
  <c r="E109" i="2"/>
  <c r="E104" i="2"/>
  <c r="E97" i="2"/>
  <c r="E95" i="2"/>
  <c r="E91" i="2"/>
  <c r="E89" i="2"/>
  <c r="E88" i="2"/>
  <c r="E82" i="2"/>
  <c r="E75" i="2"/>
  <c r="E69" i="2"/>
  <c r="E68" i="2"/>
  <c r="E64" i="2"/>
  <c r="E61" i="2"/>
  <c r="E53" i="2"/>
  <c r="E51" i="2" s="1"/>
  <c r="E40" i="2"/>
  <c r="E37" i="2"/>
  <c r="E33" i="2"/>
  <c r="E25" i="2"/>
  <c r="E22" i="2"/>
  <c r="E16" i="2"/>
  <c r="E13" i="2"/>
  <c r="E10" i="2"/>
  <c r="E5" i="2"/>
  <c r="E60" i="2" l="1"/>
  <c r="E4" i="2"/>
  <c r="E3" i="2" s="1"/>
  <c r="E182" i="2" s="1"/>
  <c r="E83" i="2"/>
  <c r="E67" i="2" s="1"/>
  <c r="E150" i="2"/>
  <c r="E36" i="2"/>
  <c r="E35" i="2" s="1"/>
  <c r="E114" i="2"/>
  <c r="E103" i="2" s="1"/>
  <c r="E183" i="2"/>
  <c r="G89" i="10"/>
  <c r="G88" i="10"/>
  <c r="G87" i="10"/>
  <c r="G86" i="10"/>
  <c r="G30" i="5"/>
  <c r="G44" i="5"/>
  <c r="G40" i="5"/>
  <c r="G33" i="5"/>
  <c r="G32" i="5"/>
  <c r="G31" i="5"/>
  <c r="G28" i="5"/>
  <c r="G16" i="5"/>
  <c r="G10" i="5"/>
  <c r="G9" i="5"/>
  <c r="F126" i="5"/>
  <c r="F123" i="5"/>
  <c r="F120" i="5"/>
  <c r="F117" i="5"/>
  <c r="F111" i="5"/>
  <c r="F101" i="5"/>
  <c r="F98" i="5"/>
  <c r="F95" i="5"/>
  <c r="F92" i="5"/>
  <c r="F89" i="5"/>
  <c r="F85" i="5"/>
  <c r="F82" i="5"/>
  <c r="F79" i="5"/>
  <c r="F76" i="5"/>
  <c r="F73" i="5"/>
  <c r="F69" i="5"/>
  <c r="F66" i="5"/>
  <c r="F63" i="5"/>
  <c r="F60" i="5"/>
  <c r="F57" i="5"/>
  <c r="F47" i="5"/>
  <c r="F7" i="5"/>
  <c r="F6" i="5" s="1"/>
  <c r="F5" i="5" s="1"/>
  <c r="E126" i="5"/>
  <c r="E123" i="5"/>
  <c r="E120" i="5"/>
  <c r="E117" i="5"/>
  <c r="E111" i="5"/>
  <c r="E101" i="5"/>
  <c r="E98" i="5"/>
  <c r="E95" i="5"/>
  <c r="E92" i="5"/>
  <c r="E89" i="5"/>
  <c r="E85" i="5"/>
  <c r="E82" i="5"/>
  <c r="E79" i="5"/>
  <c r="E76" i="5"/>
  <c r="E73" i="5"/>
  <c r="E69" i="5"/>
  <c r="E66" i="5"/>
  <c r="E63" i="5"/>
  <c r="E60" i="5"/>
  <c r="E57" i="5"/>
  <c r="E47" i="5"/>
  <c r="E59" i="2" l="1"/>
  <c r="E34" i="2" s="1"/>
  <c r="E163" i="2" s="1"/>
  <c r="E191" i="2" s="1"/>
  <c r="F110" i="5"/>
  <c r="F107" i="5" s="1"/>
  <c r="F130" i="5" s="1"/>
  <c r="F88" i="5"/>
  <c r="F56" i="5"/>
  <c r="F72" i="5"/>
  <c r="E110" i="5"/>
  <c r="E107" i="5" s="1"/>
  <c r="E130" i="5" s="1"/>
  <c r="E72" i="5"/>
  <c r="E88" i="5"/>
  <c r="E56" i="5"/>
  <c r="H5" i="10"/>
  <c r="I5" i="10" s="1"/>
  <c r="H6" i="10"/>
  <c r="I6" i="10" s="1"/>
  <c r="H7" i="10"/>
  <c r="I7" i="10" s="1"/>
  <c r="H8" i="10"/>
  <c r="I8" i="10" s="1"/>
  <c r="H9" i="10"/>
  <c r="I9" i="10" s="1"/>
  <c r="H10" i="10"/>
  <c r="I10" i="10" s="1"/>
  <c r="H11" i="10"/>
  <c r="I11" i="10" s="1"/>
  <c r="H12" i="10"/>
  <c r="I12" i="10"/>
  <c r="H13" i="10"/>
  <c r="I13" i="10" s="1"/>
  <c r="H14" i="10"/>
  <c r="I14" i="10"/>
  <c r="H16" i="10"/>
  <c r="I16" i="10" s="1"/>
  <c r="H17" i="10"/>
  <c r="I17" i="10" s="1"/>
  <c r="H18" i="10"/>
  <c r="I18" i="10" s="1"/>
  <c r="H19" i="10"/>
  <c r="I19" i="10" s="1"/>
  <c r="H20" i="10"/>
  <c r="I20" i="10" s="1"/>
  <c r="H21" i="10"/>
  <c r="I21" i="10" s="1"/>
  <c r="H22" i="10"/>
  <c r="I22" i="10" s="1"/>
  <c r="H23" i="10"/>
  <c r="I23" i="10"/>
  <c r="H24" i="10"/>
  <c r="I24" i="10" s="1"/>
  <c r="H25" i="10"/>
  <c r="I25" i="10" s="1"/>
  <c r="H26" i="10"/>
  <c r="I26" i="10" s="1"/>
  <c r="H27" i="10"/>
  <c r="I27" i="10" s="1"/>
  <c r="H28" i="10"/>
  <c r="I28" i="10" s="1"/>
  <c r="H29" i="10"/>
  <c r="I29" i="10"/>
  <c r="H30" i="10"/>
  <c r="I30" i="10" s="1"/>
  <c r="H32" i="10"/>
  <c r="I32" i="10" s="1"/>
  <c r="H33" i="10"/>
  <c r="I33" i="10" s="1"/>
  <c r="H34" i="10"/>
  <c r="I34" i="10" s="1"/>
  <c r="H35" i="10"/>
  <c r="I35" i="10" s="1"/>
  <c r="H36" i="10"/>
  <c r="I36" i="10" s="1"/>
  <c r="H37" i="10"/>
  <c r="I37" i="10" s="1"/>
  <c r="H38" i="10"/>
  <c r="I38" i="10" s="1"/>
  <c r="H39" i="10"/>
  <c r="I39" i="10" s="1"/>
  <c r="H40" i="10"/>
  <c r="I40" i="10" s="1"/>
  <c r="E164" i="2" l="1"/>
  <c r="E172" i="2" s="1"/>
  <c r="E193" i="2" s="1"/>
  <c r="F55" i="5"/>
  <c r="F53" i="5" s="1"/>
  <c r="F105" i="5" s="1"/>
  <c r="E55" i="5"/>
  <c r="E53" i="5" s="1"/>
  <c r="E105" i="5" s="1"/>
  <c r="E133" i="5" s="1"/>
  <c r="G40" i="2"/>
  <c r="K82" i="10" l="1"/>
  <c r="L82" i="10" s="1"/>
  <c r="H82" i="10"/>
  <c r="I82" i="10" s="1"/>
  <c r="K81" i="10"/>
  <c r="L81" i="10" s="1"/>
  <c r="H81" i="10"/>
  <c r="I81" i="10" s="1"/>
  <c r="K80" i="10"/>
  <c r="L80" i="10" s="1"/>
  <c r="H80" i="10"/>
  <c r="I80" i="10" s="1"/>
  <c r="K79" i="10"/>
  <c r="L79" i="10" s="1"/>
  <c r="H79" i="10"/>
  <c r="I79" i="10" s="1"/>
  <c r="K77" i="10"/>
  <c r="L77" i="10" s="1"/>
  <c r="H77" i="10"/>
  <c r="I77" i="10" s="1"/>
  <c r="K76" i="10"/>
  <c r="L76" i="10" s="1"/>
  <c r="H76" i="10"/>
  <c r="I76" i="10" s="1"/>
  <c r="K75" i="10"/>
  <c r="L75" i="10" s="1"/>
  <c r="H75" i="10"/>
  <c r="I75" i="10" s="1"/>
  <c r="K74" i="10"/>
  <c r="L74" i="10" s="1"/>
  <c r="H74" i="10"/>
  <c r="I74" i="10" s="1"/>
  <c r="K73" i="10"/>
  <c r="L73" i="10" s="1"/>
  <c r="H73" i="10"/>
  <c r="I73" i="10" s="1"/>
  <c r="K72" i="10"/>
  <c r="L72" i="10" s="1"/>
  <c r="H72" i="10"/>
  <c r="I72" i="10" s="1"/>
  <c r="K71" i="10"/>
  <c r="L71" i="10" s="1"/>
  <c r="H71" i="10"/>
  <c r="I71" i="10" s="1"/>
  <c r="K70" i="10"/>
  <c r="L70" i="10" s="1"/>
  <c r="H70" i="10"/>
  <c r="I70" i="10" s="1"/>
  <c r="K69" i="10"/>
  <c r="L69" i="10" s="1"/>
  <c r="H69" i="10"/>
  <c r="I69" i="10" s="1"/>
  <c r="K68" i="10"/>
  <c r="L68" i="10" s="1"/>
  <c r="H68" i="10"/>
  <c r="I68" i="10" s="1"/>
  <c r="K67" i="10"/>
  <c r="L67" i="10" s="1"/>
  <c r="H67" i="10"/>
  <c r="I67" i="10" s="1"/>
  <c r="K66" i="10"/>
  <c r="L66" i="10" s="1"/>
  <c r="H66" i="10"/>
  <c r="I66" i="10" s="1"/>
  <c r="K65" i="10"/>
  <c r="L65" i="10" s="1"/>
  <c r="H65" i="10"/>
  <c r="I65" i="10" s="1"/>
  <c r="K64" i="10"/>
  <c r="L64" i="10" s="1"/>
  <c r="H64" i="10"/>
  <c r="I64" i="10" s="1"/>
  <c r="K63" i="10"/>
  <c r="L63" i="10" s="1"/>
  <c r="H63" i="10"/>
  <c r="I63" i="10" s="1"/>
  <c r="K62" i="10"/>
  <c r="L62" i="10" s="1"/>
  <c r="H62" i="10"/>
  <c r="I62" i="10" s="1"/>
  <c r="K61" i="10"/>
  <c r="L61" i="10" s="1"/>
  <c r="H61" i="10"/>
  <c r="I61" i="10" s="1"/>
  <c r="K60" i="10"/>
  <c r="L60" i="10" s="1"/>
  <c r="H60" i="10"/>
  <c r="I60" i="10" s="1"/>
  <c r="K59" i="10"/>
  <c r="L59" i="10" s="1"/>
  <c r="H59" i="10"/>
  <c r="I59" i="10" s="1"/>
  <c r="K58" i="10"/>
  <c r="L58" i="10" s="1"/>
  <c r="H58" i="10"/>
  <c r="I58" i="10" s="1"/>
  <c r="K57" i="10"/>
  <c r="L57" i="10" s="1"/>
  <c r="H57" i="10"/>
  <c r="I57" i="10" s="1"/>
  <c r="K56" i="10"/>
  <c r="L56" i="10" s="1"/>
  <c r="H56" i="10"/>
  <c r="I56" i="10" s="1"/>
  <c r="K55" i="10"/>
  <c r="L55" i="10" s="1"/>
  <c r="H55" i="10"/>
  <c r="I55" i="10" s="1"/>
  <c r="K54" i="10"/>
  <c r="L54" i="10" s="1"/>
  <c r="H54" i="10"/>
  <c r="I54" i="10" s="1"/>
  <c r="C96" i="14" l="1"/>
  <c r="C84" i="14"/>
  <c r="C79" i="14"/>
  <c r="C69" i="14"/>
  <c r="C65" i="14"/>
  <c r="C57" i="14"/>
  <c r="C3" i="14"/>
  <c r="G69" i="2" l="1"/>
  <c r="K6" i="2" l="1"/>
  <c r="H7" i="2"/>
  <c r="G53" i="2"/>
  <c r="G5" i="2" l="1"/>
  <c r="K40" i="10" l="1"/>
  <c r="L40" i="10" s="1"/>
  <c r="K39" i="10"/>
  <c r="L39" i="10" s="1"/>
  <c r="K38" i="10"/>
  <c r="L38" i="10" s="1"/>
  <c r="K37" i="10"/>
  <c r="L37" i="10" s="1"/>
  <c r="K36" i="10"/>
  <c r="L36" i="10" s="1"/>
  <c r="K35" i="10"/>
  <c r="L35" i="10" s="1"/>
  <c r="K34" i="10"/>
  <c r="L34" i="10" s="1"/>
  <c r="K33" i="10"/>
  <c r="L33" i="10" s="1"/>
  <c r="K32" i="10"/>
  <c r="L32" i="10" s="1"/>
  <c r="K30" i="10"/>
  <c r="L30" i="10" s="1"/>
  <c r="K29" i="10"/>
  <c r="L29" i="10" s="1"/>
  <c r="K28" i="10"/>
  <c r="L28" i="10" s="1"/>
  <c r="K27" i="10"/>
  <c r="L27" i="10" s="1"/>
  <c r="K26" i="10"/>
  <c r="L26" i="10" s="1"/>
  <c r="K25" i="10"/>
  <c r="L25" i="10" s="1"/>
  <c r="K24" i="10"/>
  <c r="L24" i="10" s="1"/>
  <c r="K23" i="10"/>
  <c r="L23" i="10" s="1"/>
  <c r="K22" i="10"/>
  <c r="L22" i="10" s="1"/>
  <c r="K21" i="10"/>
  <c r="L21" i="10" s="1"/>
  <c r="K20" i="10"/>
  <c r="L20" i="10" s="1"/>
  <c r="K19" i="10"/>
  <c r="L19" i="10" s="1"/>
  <c r="K18" i="10"/>
  <c r="L18" i="10" s="1"/>
  <c r="K17" i="10"/>
  <c r="L17" i="10" s="1"/>
  <c r="K16" i="10"/>
  <c r="L16" i="10" s="1"/>
  <c r="K14" i="10"/>
  <c r="L14" i="10" s="1"/>
  <c r="K13" i="10"/>
  <c r="L13" i="10" s="1"/>
  <c r="K12" i="10"/>
  <c r="L12" i="10" s="1"/>
  <c r="K11" i="10"/>
  <c r="L11" i="10" s="1"/>
  <c r="K10" i="10"/>
  <c r="L10" i="10" s="1"/>
  <c r="K9" i="10"/>
  <c r="L9" i="10" s="1"/>
  <c r="K8" i="10"/>
  <c r="L8" i="10" s="1"/>
  <c r="K7" i="10"/>
  <c r="L7" i="10" s="1"/>
  <c r="K6" i="10"/>
  <c r="L6" i="10" s="1"/>
  <c r="K5" i="10"/>
  <c r="L5" i="10" s="1"/>
  <c r="H42" i="10"/>
  <c r="I42" i="10" s="1"/>
  <c r="K42" i="10"/>
  <c r="L42" i="10" s="1"/>
  <c r="H43" i="10"/>
  <c r="I43" i="10" s="1"/>
  <c r="K43" i="10"/>
  <c r="L43" i="10" s="1"/>
  <c r="H44" i="10"/>
  <c r="I44" i="10" s="1"/>
  <c r="K44" i="10"/>
  <c r="L44" i="10" s="1"/>
  <c r="H45" i="10"/>
  <c r="I45" i="10" s="1"/>
  <c r="K45" i="10"/>
  <c r="L45" i="10" s="1"/>
  <c r="H46" i="10"/>
  <c r="I46" i="10" s="1"/>
  <c r="K46" i="10"/>
  <c r="L46" i="10" s="1"/>
  <c r="H48" i="10"/>
  <c r="I48" i="10" s="1"/>
  <c r="K48" i="10"/>
  <c r="L48" i="10" s="1"/>
  <c r="H49" i="10"/>
  <c r="I49" i="10" s="1"/>
  <c r="K49" i="10"/>
  <c r="L49" i="10" s="1"/>
  <c r="H50" i="10"/>
  <c r="I50" i="10" s="1"/>
  <c r="K50" i="10"/>
  <c r="L50" i="10" s="1"/>
  <c r="H51" i="10"/>
  <c r="I51" i="10" s="1"/>
  <c r="K51" i="10"/>
  <c r="L51" i="10" s="1"/>
  <c r="H52" i="10"/>
  <c r="I52" i="10" s="1"/>
  <c r="K52" i="10"/>
  <c r="L52" i="10" s="1"/>
  <c r="K88" i="10" l="1"/>
  <c r="L88" i="10" s="1"/>
  <c r="H87" i="10"/>
  <c r="K72" i="2" l="1"/>
  <c r="K58" i="2" l="1"/>
  <c r="L58" i="2" s="1"/>
  <c r="H58" i="2"/>
  <c r="I58" i="2" s="1"/>
  <c r="K57" i="2"/>
  <c r="L57" i="2" s="1"/>
  <c r="H57" i="2"/>
  <c r="I57" i="2" s="1"/>
  <c r="K56" i="2"/>
  <c r="L56" i="2" s="1"/>
  <c r="H56" i="2"/>
  <c r="I56" i="2" s="1"/>
  <c r="K55" i="2"/>
  <c r="L55" i="2" s="1"/>
  <c r="H55" i="2"/>
  <c r="I55" i="2" s="1"/>
  <c r="K54" i="2"/>
  <c r="L54" i="2" s="1"/>
  <c r="H54" i="2"/>
  <c r="I54" i="2" s="1"/>
  <c r="H53" i="2"/>
  <c r="I53" i="2" s="1"/>
  <c r="C53" i="2"/>
  <c r="C51" i="2" s="1"/>
  <c r="K52" i="2"/>
  <c r="L52" i="2" s="1"/>
  <c r="H52" i="2"/>
  <c r="I52" i="2" s="1"/>
  <c r="K50" i="2"/>
  <c r="L50" i="2" s="1"/>
  <c r="H50" i="2"/>
  <c r="I50" i="2" s="1"/>
  <c r="K49" i="2"/>
  <c r="L49" i="2" s="1"/>
  <c r="H49" i="2"/>
  <c r="I49" i="2" s="1"/>
  <c r="K48" i="2"/>
  <c r="L48" i="2" s="1"/>
  <c r="H48" i="2"/>
  <c r="I48" i="2" s="1"/>
  <c r="K47" i="2"/>
  <c r="L47" i="2" s="1"/>
  <c r="H47" i="2"/>
  <c r="I47" i="2" s="1"/>
  <c r="K46" i="2"/>
  <c r="L46" i="2" s="1"/>
  <c r="H46" i="2"/>
  <c r="I46" i="2" s="1"/>
  <c r="K45" i="2"/>
  <c r="L45" i="2" s="1"/>
  <c r="H45" i="2"/>
  <c r="I45" i="2" s="1"/>
  <c r="K44" i="2"/>
  <c r="L44" i="2" s="1"/>
  <c r="H44" i="2"/>
  <c r="I44" i="2" s="1"/>
  <c r="K43" i="2"/>
  <c r="L43" i="2" s="1"/>
  <c r="H43" i="2"/>
  <c r="I43" i="2" s="1"/>
  <c r="K42" i="2"/>
  <c r="L42" i="2" s="1"/>
  <c r="H42" i="2"/>
  <c r="I42" i="2" s="1"/>
  <c r="K41" i="2"/>
  <c r="L41" i="2" s="1"/>
  <c r="H41" i="2"/>
  <c r="I41" i="2" s="1"/>
  <c r="C40" i="2"/>
  <c r="K39" i="2"/>
  <c r="L39" i="2" s="1"/>
  <c r="H39" i="2"/>
  <c r="I39" i="2" s="1"/>
  <c r="K38" i="2"/>
  <c r="L38" i="2" s="1"/>
  <c r="H38" i="2"/>
  <c r="I38" i="2" s="1"/>
  <c r="H37" i="2"/>
  <c r="I37" i="2" s="1"/>
  <c r="C37" i="2"/>
  <c r="H40" i="2" l="1"/>
  <c r="I40" i="2" s="1"/>
  <c r="G36" i="2"/>
  <c r="G51" i="2"/>
  <c r="H51" i="2" s="1"/>
  <c r="I51" i="2" s="1"/>
  <c r="K37" i="2"/>
  <c r="L37" i="2" s="1"/>
  <c r="C36" i="2"/>
  <c r="C35" i="2" s="1"/>
  <c r="K40" i="2"/>
  <c r="L40" i="2" s="1"/>
  <c r="K53" i="2"/>
  <c r="L53" i="2" s="1"/>
  <c r="K51" i="2" l="1"/>
  <c r="L51" i="2" s="1"/>
  <c r="H36" i="2"/>
  <c r="I36" i="2" s="1"/>
  <c r="K36" i="2"/>
  <c r="L36" i="2" s="1"/>
  <c r="G35" i="2"/>
  <c r="K35" i="2" l="1"/>
  <c r="L35" i="2" s="1"/>
  <c r="H35" i="2"/>
  <c r="I35" i="2" s="1"/>
  <c r="G91" i="2" l="1"/>
  <c r="H33" i="2"/>
  <c r="I33" i="2" s="1"/>
  <c r="H6" i="2" l="1"/>
  <c r="I6" i="2" s="1"/>
  <c r="I7" i="2"/>
  <c r="H8" i="2"/>
  <c r="I8" i="2" s="1"/>
  <c r="H9" i="2"/>
  <c r="I9" i="2" s="1"/>
  <c r="H11" i="2"/>
  <c r="I11" i="2" s="1"/>
  <c r="H12" i="2"/>
  <c r="I12" i="2" s="1"/>
  <c r="H14" i="2"/>
  <c r="I14" i="2" s="1"/>
  <c r="H15" i="2"/>
  <c r="I15" i="2" s="1"/>
  <c r="H17" i="2"/>
  <c r="I17" i="2" s="1"/>
  <c r="H18" i="2"/>
  <c r="I18" i="2" s="1"/>
  <c r="H19" i="2"/>
  <c r="I19" i="2" s="1"/>
  <c r="H20" i="2"/>
  <c r="I20" i="2" s="1"/>
  <c r="H21" i="2"/>
  <c r="I21" i="2" s="1"/>
  <c r="H23" i="2"/>
  <c r="I23" i="2" s="1"/>
  <c r="H24" i="2"/>
  <c r="I24" i="2" s="1"/>
  <c r="H26" i="2"/>
  <c r="I26" i="2" s="1"/>
  <c r="H27" i="2"/>
  <c r="I27" i="2" s="1"/>
  <c r="H28" i="2"/>
  <c r="I28" i="2" s="1"/>
  <c r="H29" i="2"/>
  <c r="I29" i="2" s="1"/>
  <c r="H30" i="2"/>
  <c r="I30" i="2" s="1"/>
  <c r="H31" i="2"/>
  <c r="I31" i="2" s="1"/>
  <c r="H32" i="2"/>
  <c r="I32" i="2" s="1"/>
  <c r="H62" i="2"/>
  <c r="I62" i="2" s="1"/>
  <c r="H63" i="2"/>
  <c r="I63" i="2" s="1"/>
  <c r="H65" i="2"/>
  <c r="I65" i="2" s="1"/>
  <c r="I66" i="2"/>
  <c r="H68" i="2"/>
  <c r="I68" i="2" s="1"/>
  <c r="H70" i="2"/>
  <c r="I70" i="2" s="1"/>
  <c r="H71" i="2"/>
  <c r="I71" i="2" s="1"/>
  <c r="H72" i="2"/>
  <c r="I72" i="2" s="1"/>
  <c r="H73" i="2"/>
  <c r="I73" i="2" s="1"/>
  <c r="H74" i="2"/>
  <c r="I74" i="2" s="1"/>
  <c r="H76" i="2"/>
  <c r="I76" i="2" s="1"/>
  <c r="H77" i="2"/>
  <c r="I77" i="2" s="1"/>
  <c r="H78" i="2"/>
  <c r="I78" i="2" s="1"/>
  <c r="H79" i="2"/>
  <c r="I79" i="2" s="1"/>
  <c r="H80" i="2"/>
  <c r="I80" i="2" s="1"/>
  <c r="H81" i="2"/>
  <c r="I81" i="2" s="1"/>
  <c r="H82" i="2"/>
  <c r="I82" i="2" s="1"/>
  <c r="H84" i="2"/>
  <c r="I84" i="2" s="1"/>
  <c r="H85" i="2"/>
  <c r="I85" i="2" s="1"/>
  <c r="H86" i="2"/>
  <c r="I86" i="2" s="1"/>
  <c r="H87" i="2"/>
  <c r="I87" i="2" s="1"/>
  <c r="H88" i="2"/>
  <c r="I88" i="2" s="1"/>
  <c r="H89" i="2"/>
  <c r="I89" i="2" s="1"/>
  <c r="H90" i="2"/>
  <c r="I90" i="2" s="1"/>
  <c r="H92" i="2"/>
  <c r="I92" i="2" s="1"/>
  <c r="H93" i="2"/>
  <c r="I93" i="2" s="1"/>
  <c r="H94" i="2"/>
  <c r="I94" i="2" s="1"/>
  <c r="H95" i="2"/>
  <c r="I95" i="2" s="1"/>
  <c r="H96" i="2"/>
  <c r="I96" i="2" s="1"/>
  <c r="H98" i="2"/>
  <c r="I98" i="2" s="1"/>
  <c r="H99" i="2"/>
  <c r="I99" i="2" s="1"/>
  <c r="H100" i="2"/>
  <c r="I100" i="2" s="1"/>
  <c r="H101" i="2"/>
  <c r="I101" i="2" s="1"/>
  <c r="H102" i="2"/>
  <c r="I102" i="2" s="1"/>
  <c r="H105" i="2"/>
  <c r="I105" i="2" s="1"/>
  <c r="H106" i="2"/>
  <c r="I106" i="2" s="1"/>
  <c r="H107" i="2"/>
  <c r="I107" i="2" s="1"/>
  <c r="H108" i="2"/>
  <c r="I108" i="2" s="1"/>
  <c r="H110" i="2"/>
  <c r="I110" i="2" s="1"/>
  <c r="H111" i="2"/>
  <c r="I111" i="2" s="1"/>
  <c r="H112" i="2"/>
  <c r="I112" i="2" s="1"/>
  <c r="H113" i="2"/>
  <c r="I113" i="2" s="1"/>
  <c r="H116" i="2"/>
  <c r="I116" i="2" s="1"/>
  <c r="H117" i="2"/>
  <c r="I117" i="2" s="1"/>
  <c r="H118" i="2"/>
  <c r="I118" i="2" s="1"/>
  <c r="H119" i="2"/>
  <c r="I119" i="2" s="1"/>
  <c r="H120" i="2"/>
  <c r="I120" i="2" s="1"/>
  <c r="H122" i="2"/>
  <c r="I122" i="2" s="1"/>
  <c r="H123" i="2"/>
  <c r="I123" i="2" s="1"/>
  <c r="H125" i="2"/>
  <c r="I125" i="2" s="1"/>
  <c r="H126" i="2"/>
  <c r="I126" i="2" s="1"/>
  <c r="H127" i="2"/>
  <c r="I127" i="2" s="1"/>
  <c r="H128" i="2"/>
  <c r="I128" i="2" s="1"/>
  <c r="H130" i="2"/>
  <c r="I130" i="2" s="1"/>
  <c r="H131" i="2"/>
  <c r="I131" i="2" s="1"/>
  <c r="H132" i="2"/>
  <c r="I132" i="2" s="1"/>
  <c r="H133" i="2"/>
  <c r="I133" i="2" s="1"/>
  <c r="H134" i="2"/>
  <c r="I134" i="2" s="1"/>
  <c r="H135" i="2"/>
  <c r="I135" i="2" s="1"/>
  <c r="H136" i="2"/>
  <c r="I136" i="2" s="1"/>
  <c r="H137" i="2"/>
  <c r="I137" i="2" s="1"/>
  <c r="H138" i="2"/>
  <c r="I138" i="2" s="1"/>
  <c r="H141" i="2"/>
  <c r="I141" i="2" s="1"/>
  <c r="H142" i="2"/>
  <c r="I142" i="2" s="1"/>
  <c r="H143" i="2"/>
  <c r="I143" i="2" s="1"/>
  <c r="H144" i="2"/>
  <c r="I144" i="2" s="1"/>
  <c r="H145" i="2"/>
  <c r="I145" i="2" s="1"/>
  <c r="H146" i="2"/>
  <c r="I146" i="2" s="1"/>
  <c r="H147" i="2"/>
  <c r="I147" i="2" s="1"/>
  <c r="H148" i="2"/>
  <c r="I148" i="2" s="1"/>
  <c r="H149" i="2"/>
  <c r="I149" i="2" s="1"/>
  <c r="H152" i="2"/>
  <c r="I152" i="2" s="1"/>
  <c r="H153" i="2"/>
  <c r="I153" i="2" s="1"/>
  <c r="H155" i="2"/>
  <c r="I155" i="2" s="1"/>
  <c r="H156" i="2"/>
  <c r="I156" i="2" s="1"/>
  <c r="H157" i="2"/>
  <c r="I157" i="2" s="1"/>
  <c r="H159" i="2"/>
  <c r="I159" i="2" s="1"/>
  <c r="H160" i="2"/>
  <c r="I160" i="2" s="1"/>
  <c r="H161" i="2"/>
  <c r="I161" i="2" s="1"/>
  <c r="H162" i="2"/>
  <c r="I162" i="2" s="1"/>
  <c r="H166" i="2"/>
  <c r="I166" i="2" s="1"/>
  <c r="H168" i="2"/>
  <c r="I168" i="2" s="1"/>
  <c r="H169" i="2"/>
  <c r="I169" i="2" s="1"/>
  <c r="H170" i="2"/>
  <c r="I170" i="2" s="1"/>
  <c r="H171" i="2"/>
  <c r="I171" i="2" s="1"/>
  <c r="H174" i="2"/>
  <c r="I174" i="2" s="1"/>
  <c r="H175" i="2"/>
  <c r="I175" i="2" s="1"/>
  <c r="H176" i="2"/>
  <c r="I176" i="2" s="1"/>
  <c r="H177" i="2"/>
  <c r="I177" i="2" s="1"/>
  <c r="H178" i="2"/>
  <c r="I178" i="2" s="1"/>
  <c r="H179" i="2"/>
  <c r="I179" i="2" s="1"/>
  <c r="H180" i="2"/>
  <c r="I180" i="2" s="1"/>
  <c r="H181" i="2"/>
  <c r="I181" i="2" s="1"/>
  <c r="H184" i="2"/>
  <c r="I184" i="2" s="1"/>
  <c r="H185" i="2"/>
  <c r="I185" i="2" s="1"/>
  <c r="H186" i="2"/>
  <c r="I186" i="2" s="1"/>
  <c r="H187" i="2"/>
  <c r="I187" i="2" s="1"/>
  <c r="I188" i="2"/>
  <c r="H189" i="2"/>
  <c r="I189" i="2" s="1"/>
  <c r="H190" i="2"/>
  <c r="I190" i="2" s="1"/>
  <c r="H192" i="2"/>
  <c r="I192" i="2" s="1"/>
  <c r="K33" i="2" l="1"/>
  <c r="D193" i="2" l="1"/>
  <c r="C181" i="2" l="1"/>
  <c r="C82" i="2"/>
  <c r="C138" i="2"/>
  <c r="C142" i="2"/>
  <c r="C185" i="2"/>
  <c r="C186" i="2"/>
  <c r="C189" i="2"/>
  <c r="C89" i="2"/>
  <c r="C188" i="2"/>
  <c r="C95" i="2"/>
  <c r="C88" i="2"/>
  <c r="C68" i="2"/>
  <c r="C33" i="2"/>
  <c r="K87" i="10" l="1"/>
  <c r="K91" i="10" l="1"/>
  <c r="L91" i="10" s="1"/>
  <c r="K89" i="10"/>
  <c r="L89" i="10" s="1"/>
  <c r="L87" i="10"/>
  <c r="K86" i="10"/>
  <c r="L86" i="10" s="1"/>
  <c r="K85" i="10"/>
  <c r="L85" i="10" s="1"/>
  <c r="K84" i="10"/>
  <c r="L84" i="10" s="1"/>
  <c r="H91" i="10"/>
  <c r="I91" i="10" s="1"/>
  <c r="H89" i="10"/>
  <c r="I89" i="10" s="1"/>
  <c r="H88" i="10"/>
  <c r="I88" i="10" s="1"/>
  <c r="I87" i="10"/>
  <c r="H86" i="10"/>
  <c r="I86" i="10" s="1"/>
  <c r="H85" i="10"/>
  <c r="I85" i="10" s="1"/>
  <c r="H84" i="10"/>
  <c r="I84" i="10" s="1"/>
  <c r="K140" i="5"/>
  <c r="L140" i="5" s="1"/>
  <c r="K139" i="5"/>
  <c r="L139" i="5" s="1"/>
  <c r="K138" i="5"/>
  <c r="L138" i="5" s="1"/>
  <c r="K137" i="5"/>
  <c r="L137" i="5" s="1"/>
  <c r="K136" i="5"/>
  <c r="L136" i="5" s="1"/>
  <c r="K135" i="5"/>
  <c r="L135" i="5" s="1"/>
  <c r="K134" i="5"/>
  <c r="L134" i="5" s="1"/>
  <c r="K132" i="5"/>
  <c r="L132" i="5" s="1"/>
  <c r="K131" i="5"/>
  <c r="L131" i="5" s="1"/>
  <c r="K129" i="5"/>
  <c r="L129" i="5" s="1"/>
  <c r="K128" i="5"/>
  <c r="L128" i="5" s="1"/>
  <c r="K127" i="5"/>
  <c r="L127" i="5" s="1"/>
  <c r="K125" i="5"/>
  <c r="L125" i="5" s="1"/>
  <c r="K124" i="5"/>
  <c r="L124" i="5" s="1"/>
  <c r="K122" i="5"/>
  <c r="L122" i="5" s="1"/>
  <c r="K119" i="5"/>
  <c r="K118" i="5"/>
  <c r="L118" i="5" s="1"/>
  <c r="K116" i="5"/>
  <c r="L116" i="5" s="1"/>
  <c r="K115" i="5"/>
  <c r="K113" i="5"/>
  <c r="L113" i="5" s="1"/>
  <c r="K112" i="5"/>
  <c r="L112" i="5" s="1"/>
  <c r="K109" i="5"/>
  <c r="L109" i="5" s="1"/>
  <c r="K108" i="5"/>
  <c r="L108" i="5" s="1"/>
  <c r="K104" i="5"/>
  <c r="L104" i="5" s="1"/>
  <c r="K103" i="5"/>
  <c r="L103" i="5" s="1"/>
  <c r="K102" i="5"/>
  <c r="L102" i="5" s="1"/>
  <c r="K100" i="5"/>
  <c r="L100" i="5" s="1"/>
  <c r="K99" i="5"/>
  <c r="L99" i="5" s="1"/>
  <c r="K97" i="5"/>
  <c r="L97" i="5" s="1"/>
  <c r="K96" i="5"/>
  <c r="K94" i="5"/>
  <c r="K93" i="5"/>
  <c r="L93" i="5" s="1"/>
  <c r="K91" i="5"/>
  <c r="L91" i="5" s="1"/>
  <c r="K90" i="5"/>
  <c r="L90" i="5" s="1"/>
  <c r="K87" i="5"/>
  <c r="L87" i="5" s="1"/>
  <c r="K86" i="5"/>
  <c r="K84" i="5"/>
  <c r="L84" i="5" s="1"/>
  <c r="K83" i="5"/>
  <c r="L83" i="5" s="1"/>
  <c r="K81" i="5"/>
  <c r="L81" i="5" s="1"/>
  <c r="K80" i="5"/>
  <c r="L80" i="5" s="1"/>
  <c r="K78" i="5"/>
  <c r="L78" i="5" s="1"/>
  <c r="K77" i="5"/>
  <c r="L77" i="5" s="1"/>
  <c r="K75" i="5"/>
  <c r="L75" i="5" s="1"/>
  <c r="K74" i="5"/>
  <c r="L74" i="5" s="1"/>
  <c r="K71" i="5"/>
  <c r="L71" i="5" s="1"/>
  <c r="K70" i="5"/>
  <c r="L70" i="5" s="1"/>
  <c r="K68" i="5"/>
  <c r="L68" i="5" s="1"/>
  <c r="K67" i="5"/>
  <c r="K65" i="5"/>
  <c r="L65" i="5" s="1"/>
  <c r="K64" i="5"/>
  <c r="L64" i="5" s="1"/>
  <c r="K62" i="5"/>
  <c r="K61" i="5"/>
  <c r="K59" i="5"/>
  <c r="L59" i="5" s="1"/>
  <c r="K58" i="5"/>
  <c r="L58" i="5" s="1"/>
  <c r="K54" i="5"/>
  <c r="L54" i="5" s="1"/>
  <c r="K52" i="5"/>
  <c r="L52" i="5" s="1"/>
  <c r="K51" i="5"/>
  <c r="L51" i="5" s="1"/>
  <c r="K50" i="5"/>
  <c r="L50" i="5" s="1"/>
  <c r="K49" i="5"/>
  <c r="L49" i="5" s="1"/>
  <c r="K48" i="5"/>
  <c r="L48" i="5" s="1"/>
  <c r="K46" i="5"/>
  <c r="L46" i="5" s="1"/>
  <c r="K44" i="5"/>
  <c r="L44" i="5" s="1"/>
  <c r="K43" i="5"/>
  <c r="L43" i="5" s="1"/>
  <c r="K41" i="5"/>
  <c r="L41" i="5" s="1"/>
  <c r="K40" i="5"/>
  <c r="L40" i="5" s="1"/>
  <c r="K39" i="5"/>
  <c r="L39" i="5" s="1"/>
  <c r="K38" i="5"/>
  <c r="L38" i="5" s="1"/>
  <c r="K37" i="5"/>
  <c r="L37" i="5" s="1"/>
  <c r="K36" i="5"/>
  <c r="L36" i="5" s="1"/>
  <c r="K33" i="5"/>
  <c r="L33" i="5" s="1"/>
  <c r="K32" i="5"/>
  <c r="L32" i="5" s="1"/>
  <c r="K31" i="5"/>
  <c r="L31" i="5" s="1"/>
  <c r="K30" i="5"/>
  <c r="L30" i="5" s="1"/>
  <c r="K29" i="5"/>
  <c r="L29" i="5" s="1"/>
  <c r="K28" i="5"/>
  <c r="L28" i="5" s="1"/>
  <c r="K26" i="5"/>
  <c r="L26" i="5" s="1"/>
  <c r="K25" i="5"/>
  <c r="L25" i="5" s="1"/>
  <c r="K23" i="5"/>
  <c r="L23" i="5" s="1"/>
  <c r="K22" i="5"/>
  <c r="L22" i="5" s="1"/>
  <c r="K21" i="5"/>
  <c r="L21" i="5" s="1"/>
  <c r="K20" i="5"/>
  <c r="L20" i="5" s="1"/>
  <c r="K19" i="5"/>
  <c r="L19" i="5" s="1"/>
  <c r="K17" i="5"/>
  <c r="L17" i="5" s="1"/>
  <c r="K16" i="5"/>
  <c r="L16" i="5" s="1"/>
  <c r="K14" i="5"/>
  <c r="L14" i="5" s="1"/>
  <c r="K13" i="5"/>
  <c r="L13" i="5" s="1"/>
  <c r="K11" i="5"/>
  <c r="L11" i="5" s="1"/>
  <c r="K10" i="5"/>
  <c r="L10" i="5" s="1"/>
  <c r="K9" i="5"/>
  <c r="L9" i="5" s="1"/>
  <c r="K8" i="5"/>
  <c r="H140" i="5"/>
  <c r="I140" i="5" s="1"/>
  <c r="H139" i="5"/>
  <c r="I139" i="5" s="1"/>
  <c r="H138" i="5"/>
  <c r="I138" i="5" s="1"/>
  <c r="H137" i="5"/>
  <c r="I137" i="5" s="1"/>
  <c r="H136" i="5"/>
  <c r="I136" i="5" s="1"/>
  <c r="H135" i="5"/>
  <c r="I135" i="5" s="1"/>
  <c r="H134" i="5"/>
  <c r="I134" i="5" s="1"/>
  <c r="H132" i="5"/>
  <c r="I132" i="5" s="1"/>
  <c r="H131" i="5"/>
  <c r="I131" i="5" s="1"/>
  <c r="H129" i="5"/>
  <c r="I129" i="5" s="1"/>
  <c r="H128" i="5"/>
  <c r="I128" i="5" s="1"/>
  <c r="H127" i="5"/>
  <c r="I127" i="5" s="1"/>
  <c r="H125" i="5"/>
  <c r="I125" i="5" s="1"/>
  <c r="H124" i="5"/>
  <c r="I124" i="5" s="1"/>
  <c r="H122" i="5"/>
  <c r="I122" i="5" s="1"/>
  <c r="H121" i="5"/>
  <c r="I121" i="5" s="1"/>
  <c r="H119" i="5"/>
  <c r="I119" i="5" s="1"/>
  <c r="H118" i="5"/>
  <c r="I118" i="5" s="1"/>
  <c r="H116" i="5"/>
  <c r="I116" i="5" s="1"/>
  <c r="H115" i="5"/>
  <c r="I115" i="5" s="1"/>
  <c r="H113" i="5"/>
  <c r="I113" i="5" s="1"/>
  <c r="H109" i="5"/>
  <c r="I109" i="5" s="1"/>
  <c r="H108" i="5"/>
  <c r="I108" i="5" s="1"/>
  <c r="H104" i="5"/>
  <c r="I104" i="5" s="1"/>
  <c r="H103" i="5"/>
  <c r="I103" i="5" s="1"/>
  <c r="H102" i="5"/>
  <c r="I102" i="5" s="1"/>
  <c r="H100" i="5"/>
  <c r="I100" i="5" s="1"/>
  <c r="H99" i="5"/>
  <c r="I99" i="5" s="1"/>
  <c r="H97" i="5"/>
  <c r="I97" i="5" s="1"/>
  <c r="H96" i="5"/>
  <c r="I96" i="5" s="1"/>
  <c r="H94" i="5"/>
  <c r="I94" i="5" s="1"/>
  <c r="H93" i="5"/>
  <c r="I93" i="5" s="1"/>
  <c r="H91" i="5"/>
  <c r="I91" i="5" s="1"/>
  <c r="H90" i="5"/>
  <c r="I90" i="5" s="1"/>
  <c r="H87" i="5"/>
  <c r="I87" i="5" s="1"/>
  <c r="H86" i="5"/>
  <c r="I86" i="5" s="1"/>
  <c r="H84" i="5"/>
  <c r="I84" i="5" s="1"/>
  <c r="H83" i="5"/>
  <c r="I83" i="5" s="1"/>
  <c r="H81" i="5"/>
  <c r="I81" i="5" s="1"/>
  <c r="H80" i="5"/>
  <c r="I80" i="5" s="1"/>
  <c r="H78" i="5"/>
  <c r="I78" i="5" s="1"/>
  <c r="H77" i="5"/>
  <c r="I77" i="5" s="1"/>
  <c r="H75" i="5"/>
  <c r="I75" i="5" s="1"/>
  <c r="H74" i="5"/>
  <c r="I74" i="5" s="1"/>
  <c r="H71" i="5"/>
  <c r="I71" i="5" s="1"/>
  <c r="H70" i="5"/>
  <c r="I70" i="5" s="1"/>
  <c r="H68" i="5"/>
  <c r="I68" i="5" s="1"/>
  <c r="H67" i="5"/>
  <c r="I67" i="5" s="1"/>
  <c r="H65" i="5"/>
  <c r="I65" i="5" s="1"/>
  <c r="H62" i="5"/>
  <c r="I62" i="5" s="1"/>
  <c r="H61" i="5"/>
  <c r="I61" i="5" s="1"/>
  <c r="H59" i="5"/>
  <c r="I59" i="5" s="1"/>
  <c r="H58" i="5"/>
  <c r="I58" i="5" s="1"/>
  <c r="H54" i="5"/>
  <c r="I54" i="5" s="1"/>
  <c r="H52" i="5"/>
  <c r="I52" i="5" s="1"/>
  <c r="H51" i="5"/>
  <c r="I51" i="5" s="1"/>
  <c r="H50" i="5"/>
  <c r="I50" i="5" s="1"/>
  <c r="H49" i="5"/>
  <c r="I49" i="5" s="1"/>
  <c r="H48" i="5"/>
  <c r="I48" i="5" s="1"/>
  <c r="H44" i="5"/>
  <c r="I44" i="5" s="1"/>
  <c r="H43" i="5"/>
  <c r="I43" i="5" s="1"/>
  <c r="H41" i="5"/>
  <c r="I41" i="5" s="1"/>
  <c r="H40" i="5"/>
  <c r="I40" i="5" s="1"/>
  <c r="H39" i="5"/>
  <c r="I39" i="5" s="1"/>
  <c r="H38" i="5"/>
  <c r="I38" i="5" s="1"/>
  <c r="H37" i="5"/>
  <c r="I37" i="5" s="1"/>
  <c r="H36" i="5"/>
  <c r="I36" i="5" s="1"/>
  <c r="H33" i="5"/>
  <c r="I33" i="5" s="1"/>
  <c r="H32" i="5"/>
  <c r="I32" i="5" s="1"/>
  <c r="H31" i="5"/>
  <c r="I31" i="5" s="1"/>
  <c r="H30" i="5"/>
  <c r="I30" i="5" s="1"/>
  <c r="H29" i="5"/>
  <c r="I29" i="5" s="1"/>
  <c r="H28" i="5"/>
  <c r="I28" i="5" s="1"/>
  <c r="H26" i="5"/>
  <c r="I26" i="5" s="1"/>
  <c r="H25" i="5"/>
  <c r="I25" i="5" s="1"/>
  <c r="H23" i="5"/>
  <c r="I23" i="5" s="1"/>
  <c r="H22" i="5"/>
  <c r="I22" i="5" s="1"/>
  <c r="H21" i="5"/>
  <c r="I21" i="5" s="1"/>
  <c r="H20" i="5"/>
  <c r="I20" i="5" s="1"/>
  <c r="H19" i="5"/>
  <c r="I19" i="5" s="1"/>
  <c r="H17" i="5"/>
  <c r="I17" i="5" s="1"/>
  <c r="H16" i="5"/>
  <c r="I16" i="5" s="1"/>
  <c r="H14" i="5"/>
  <c r="I14" i="5" s="1"/>
  <c r="H13" i="5"/>
  <c r="I13" i="5" s="1"/>
  <c r="H11" i="5"/>
  <c r="I11" i="5" s="1"/>
  <c r="H10" i="5"/>
  <c r="I10" i="5" s="1"/>
  <c r="H9" i="5"/>
  <c r="I9" i="5" s="1"/>
  <c r="H8" i="5"/>
  <c r="I8" i="5" s="1"/>
  <c r="I112" i="5"/>
  <c r="I106" i="5"/>
  <c r="I64" i="5"/>
  <c r="I46" i="5"/>
  <c r="L121" i="5"/>
  <c r="L119" i="5"/>
  <c r="L115" i="5"/>
  <c r="L106" i="5"/>
  <c r="L96" i="5"/>
  <c r="L94" i="5"/>
  <c r="L86" i="5"/>
  <c r="L67" i="5"/>
  <c r="L62" i="5"/>
  <c r="L61" i="5"/>
  <c r="L8" i="5"/>
  <c r="K192" i="2"/>
  <c r="L192" i="2" s="1"/>
  <c r="K190" i="2"/>
  <c r="L190" i="2" s="1"/>
  <c r="K189" i="2"/>
  <c r="L189" i="2" s="1"/>
  <c r="K188" i="2"/>
  <c r="L188" i="2" s="1"/>
  <c r="K187" i="2"/>
  <c r="L187" i="2" s="1"/>
  <c r="K186" i="2"/>
  <c r="L186" i="2" s="1"/>
  <c r="K185" i="2"/>
  <c r="L185" i="2" s="1"/>
  <c r="K184" i="2"/>
  <c r="L184" i="2" s="1"/>
  <c r="K181" i="2"/>
  <c r="L181" i="2" s="1"/>
  <c r="K180" i="2"/>
  <c r="L180" i="2" s="1"/>
  <c r="K179" i="2"/>
  <c r="L179" i="2" s="1"/>
  <c r="K178" i="2"/>
  <c r="L178" i="2" s="1"/>
  <c r="K177" i="2"/>
  <c r="L177" i="2" s="1"/>
  <c r="K176" i="2"/>
  <c r="L176" i="2" s="1"/>
  <c r="K175" i="2"/>
  <c r="L175" i="2" s="1"/>
  <c r="K174" i="2"/>
  <c r="L174" i="2" s="1"/>
  <c r="K171" i="2"/>
  <c r="L171" i="2" s="1"/>
  <c r="K170" i="2"/>
  <c r="L170" i="2" s="1"/>
  <c r="K169" i="2"/>
  <c r="L169" i="2" s="1"/>
  <c r="K168" i="2"/>
  <c r="L168" i="2" s="1"/>
  <c r="K166" i="2"/>
  <c r="L166" i="2" s="1"/>
  <c r="K162" i="2"/>
  <c r="L162" i="2" s="1"/>
  <c r="K161" i="2"/>
  <c r="L161" i="2" s="1"/>
  <c r="K160" i="2"/>
  <c r="L160" i="2" s="1"/>
  <c r="K159" i="2"/>
  <c r="L159" i="2" s="1"/>
  <c r="K157" i="2"/>
  <c r="L157" i="2" s="1"/>
  <c r="K156" i="2"/>
  <c r="L156" i="2" s="1"/>
  <c r="K155" i="2"/>
  <c r="L155" i="2" s="1"/>
  <c r="K153" i="2"/>
  <c r="L153" i="2" s="1"/>
  <c r="K152" i="2"/>
  <c r="L152" i="2" s="1"/>
  <c r="K149" i="2"/>
  <c r="L149" i="2" s="1"/>
  <c r="K148" i="2"/>
  <c r="L148" i="2" s="1"/>
  <c r="K147" i="2"/>
  <c r="L147" i="2" s="1"/>
  <c r="K146" i="2"/>
  <c r="L146" i="2" s="1"/>
  <c r="K145" i="2"/>
  <c r="L145" i="2" s="1"/>
  <c r="K144" i="2"/>
  <c r="L144" i="2" s="1"/>
  <c r="K143" i="2"/>
  <c r="L143" i="2" s="1"/>
  <c r="K142" i="2"/>
  <c r="L142" i="2" s="1"/>
  <c r="K141" i="2"/>
  <c r="L141" i="2" s="1"/>
  <c r="K138" i="2"/>
  <c r="L138" i="2" s="1"/>
  <c r="K137" i="2"/>
  <c r="L137" i="2" s="1"/>
  <c r="K136" i="2"/>
  <c r="L136" i="2" s="1"/>
  <c r="K135" i="2"/>
  <c r="L135" i="2" s="1"/>
  <c r="K134" i="2"/>
  <c r="L134" i="2" s="1"/>
  <c r="K133" i="2"/>
  <c r="L133" i="2" s="1"/>
  <c r="K132" i="2"/>
  <c r="L132" i="2" s="1"/>
  <c r="K131" i="2"/>
  <c r="L131" i="2" s="1"/>
  <c r="K130" i="2"/>
  <c r="L130" i="2" s="1"/>
  <c r="K128" i="2"/>
  <c r="L128" i="2" s="1"/>
  <c r="K127" i="2"/>
  <c r="L127" i="2" s="1"/>
  <c r="K126" i="2"/>
  <c r="L126" i="2" s="1"/>
  <c r="K125" i="2"/>
  <c r="L125" i="2" s="1"/>
  <c r="K123" i="2"/>
  <c r="L123" i="2" s="1"/>
  <c r="K122" i="2"/>
  <c r="L122" i="2" s="1"/>
  <c r="K120" i="2"/>
  <c r="L120" i="2" s="1"/>
  <c r="K119" i="2"/>
  <c r="L119" i="2" s="1"/>
  <c r="K118" i="2"/>
  <c r="L118" i="2" s="1"/>
  <c r="K117" i="2"/>
  <c r="L117" i="2" s="1"/>
  <c r="K116" i="2"/>
  <c r="L116" i="2" s="1"/>
  <c r="K113" i="2"/>
  <c r="L113" i="2" s="1"/>
  <c r="K112" i="2"/>
  <c r="L112" i="2" s="1"/>
  <c r="K111" i="2"/>
  <c r="L111" i="2" s="1"/>
  <c r="K110" i="2"/>
  <c r="L110" i="2" s="1"/>
  <c r="K108" i="2"/>
  <c r="L108" i="2" s="1"/>
  <c r="K107" i="2"/>
  <c r="L107" i="2" s="1"/>
  <c r="K106" i="2"/>
  <c r="L106" i="2" s="1"/>
  <c r="K105" i="2"/>
  <c r="L105" i="2" s="1"/>
  <c r="K102" i="2"/>
  <c r="L102" i="2" s="1"/>
  <c r="K101" i="2"/>
  <c r="L101" i="2" s="1"/>
  <c r="K100" i="2"/>
  <c r="L100" i="2" s="1"/>
  <c r="K99" i="2"/>
  <c r="L99" i="2" s="1"/>
  <c r="K98" i="2"/>
  <c r="L98" i="2" s="1"/>
  <c r="K96" i="2"/>
  <c r="L96" i="2" s="1"/>
  <c r="K95" i="2"/>
  <c r="L95" i="2" s="1"/>
  <c r="K94" i="2"/>
  <c r="L94" i="2" s="1"/>
  <c r="K93" i="2"/>
  <c r="L93" i="2" s="1"/>
  <c r="K92" i="2"/>
  <c r="L92" i="2" s="1"/>
  <c r="K90" i="2"/>
  <c r="L90" i="2" s="1"/>
  <c r="K89" i="2"/>
  <c r="L89" i="2" s="1"/>
  <c r="K88" i="2"/>
  <c r="L88" i="2" s="1"/>
  <c r="K87" i="2"/>
  <c r="L87" i="2" s="1"/>
  <c r="K86" i="2"/>
  <c r="L86" i="2" s="1"/>
  <c r="K85" i="2"/>
  <c r="L85" i="2" s="1"/>
  <c r="K84" i="2"/>
  <c r="L84" i="2" s="1"/>
  <c r="K82" i="2"/>
  <c r="L82" i="2" s="1"/>
  <c r="K81" i="2"/>
  <c r="L81" i="2" s="1"/>
  <c r="K80" i="2"/>
  <c r="L80" i="2" s="1"/>
  <c r="K79" i="2"/>
  <c r="L79" i="2" s="1"/>
  <c r="K78" i="2"/>
  <c r="L78" i="2" s="1"/>
  <c r="K77" i="2"/>
  <c r="L77" i="2" s="1"/>
  <c r="K76" i="2"/>
  <c r="L76" i="2" s="1"/>
  <c r="K74" i="2"/>
  <c r="L74" i="2" s="1"/>
  <c r="K73" i="2"/>
  <c r="L73" i="2" s="1"/>
  <c r="L72" i="2"/>
  <c r="K71" i="2"/>
  <c r="L71" i="2" s="1"/>
  <c r="K70" i="2"/>
  <c r="L70" i="2" s="1"/>
  <c r="K68" i="2"/>
  <c r="L68" i="2" s="1"/>
  <c r="K66" i="2"/>
  <c r="L66" i="2" s="1"/>
  <c r="K65" i="2"/>
  <c r="L65" i="2" s="1"/>
  <c r="K63" i="2"/>
  <c r="L63" i="2" s="1"/>
  <c r="K62" i="2"/>
  <c r="L62" i="2" s="1"/>
  <c r="L33" i="2"/>
  <c r="K32" i="2"/>
  <c r="L32" i="2" s="1"/>
  <c r="K31" i="2"/>
  <c r="L31" i="2" s="1"/>
  <c r="K30" i="2"/>
  <c r="L30" i="2" s="1"/>
  <c r="K29" i="2"/>
  <c r="L29" i="2" s="1"/>
  <c r="K28" i="2"/>
  <c r="L28" i="2" s="1"/>
  <c r="K27" i="2"/>
  <c r="L27" i="2" s="1"/>
  <c r="K26" i="2"/>
  <c r="L26" i="2" s="1"/>
  <c r="K24" i="2"/>
  <c r="L24" i="2" s="1"/>
  <c r="K23" i="2"/>
  <c r="L23" i="2" s="1"/>
  <c r="K21" i="2"/>
  <c r="L21" i="2" s="1"/>
  <c r="K20" i="2"/>
  <c r="L20" i="2" s="1"/>
  <c r="K19" i="2"/>
  <c r="L19" i="2" s="1"/>
  <c r="K18" i="2"/>
  <c r="L18" i="2" s="1"/>
  <c r="K17" i="2"/>
  <c r="L17" i="2" s="1"/>
  <c r="K15" i="2"/>
  <c r="L15" i="2" s="1"/>
  <c r="K14" i="2"/>
  <c r="L14" i="2" s="1"/>
  <c r="K12" i="2"/>
  <c r="L12" i="2" s="1"/>
  <c r="K11" i="2"/>
  <c r="L11" i="2" s="1"/>
  <c r="K9" i="2"/>
  <c r="L9" i="2" s="1"/>
  <c r="K8" i="2"/>
  <c r="L8" i="2" s="1"/>
  <c r="K7" i="2"/>
  <c r="L7" i="2" s="1"/>
  <c r="L6" i="2"/>
  <c r="D123" i="5" l="1"/>
  <c r="G123" i="5"/>
  <c r="D120" i="5"/>
  <c r="G120" i="5"/>
  <c r="D117" i="5"/>
  <c r="G117" i="5"/>
  <c r="G114" i="5"/>
  <c r="D111" i="5"/>
  <c r="G111" i="5"/>
  <c r="D101" i="5"/>
  <c r="G101" i="5"/>
  <c r="D98" i="5"/>
  <c r="G98" i="5"/>
  <c r="D95" i="5"/>
  <c r="G95" i="5"/>
  <c r="D92" i="5"/>
  <c r="G92" i="5"/>
  <c r="D89" i="5"/>
  <c r="G89" i="5"/>
  <c r="D85" i="5"/>
  <c r="G85" i="5"/>
  <c r="D82" i="5"/>
  <c r="G82" i="5"/>
  <c r="D79" i="5"/>
  <c r="G79" i="5"/>
  <c r="D76" i="5"/>
  <c r="G76" i="5"/>
  <c r="D73" i="5"/>
  <c r="G73" i="5"/>
  <c r="D69" i="5"/>
  <c r="D66" i="5"/>
  <c r="G66" i="5"/>
  <c r="D63" i="5"/>
  <c r="G63" i="5"/>
  <c r="D60" i="5"/>
  <c r="G60" i="5"/>
  <c r="D57" i="5"/>
  <c r="G57" i="5"/>
  <c r="G183" i="2"/>
  <c r="H183" i="2" s="1"/>
  <c r="I183" i="2" s="1"/>
  <c r="C183" i="2"/>
  <c r="C123" i="5"/>
  <c r="C120" i="5"/>
  <c r="C117" i="5"/>
  <c r="C111" i="5"/>
  <c r="C101" i="5"/>
  <c r="C98" i="5"/>
  <c r="C95" i="5"/>
  <c r="C92" i="5"/>
  <c r="C89" i="5"/>
  <c r="C85" i="5"/>
  <c r="C82" i="5"/>
  <c r="C79" i="5"/>
  <c r="C76" i="5"/>
  <c r="C73" i="5"/>
  <c r="C69" i="5"/>
  <c r="C66" i="5"/>
  <c r="C63" i="5"/>
  <c r="C60" i="5"/>
  <c r="C57" i="5"/>
  <c r="D126" i="5"/>
  <c r="G126" i="5"/>
  <c r="C126" i="5"/>
  <c r="D47" i="5"/>
  <c r="G47" i="5"/>
  <c r="C47" i="5"/>
  <c r="G35" i="5"/>
  <c r="H35" i="5" s="1"/>
  <c r="I35" i="5" s="1"/>
  <c r="G42" i="5"/>
  <c r="H42" i="5" s="1"/>
  <c r="I42" i="5" s="1"/>
  <c r="G24" i="5"/>
  <c r="G27" i="5"/>
  <c r="H27" i="5" s="1"/>
  <c r="I27" i="5" s="1"/>
  <c r="D7" i="5"/>
  <c r="D6" i="5" s="1"/>
  <c r="D5" i="5" s="1"/>
  <c r="G7" i="5"/>
  <c r="H7" i="5" s="1"/>
  <c r="I7" i="5" s="1"/>
  <c r="G12" i="5"/>
  <c r="G15" i="5"/>
  <c r="H15" i="5" s="1"/>
  <c r="I15" i="5" s="1"/>
  <c r="G18" i="5"/>
  <c r="C5" i="2"/>
  <c r="C10" i="2"/>
  <c r="G10" i="2"/>
  <c r="C13" i="2"/>
  <c r="G13" i="2"/>
  <c r="C16" i="2"/>
  <c r="G16" i="2"/>
  <c r="H16" i="2" s="1"/>
  <c r="I16" i="2" s="1"/>
  <c r="C22" i="2"/>
  <c r="G22" i="2"/>
  <c r="C25" i="2"/>
  <c r="G25" i="2"/>
  <c r="H25" i="2" s="1"/>
  <c r="I25" i="2" s="1"/>
  <c r="C61" i="2"/>
  <c r="G61" i="2"/>
  <c r="H61" i="2" s="1"/>
  <c r="I61" i="2" s="1"/>
  <c r="C64" i="2"/>
  <c r="G64" i="2"/>
  <c r="H64" i="2" s="1"/>
  <c r="I64" i="2" s="1"/>
  <c r="C69" i="2"/>
  <c r="H69" i="2"/>
  <c r="I69" i="2" s="1"/>
  <c r="C75" i="2"/>
  <c r="G75" i="2"/>
  <c r="H75" i="2" s="1"/>
  <c r="I75" i="2" s="1"/>
  <c r="C83" i="2"/>
  <c r="G83" i="2"/>
  <c r="H83" i="2" s="1"/>
  <c r="I83" i="2" s="1"/>
  <c r="C91" i="2"/>
  <c r="H91" i="2"/>
  <c r="I91" i="2" s="1"/>
  <c r="C97" i="2"/>
  <c r="G97" i="2"/>
  <c r="H97" i="2" s="1"/>
  <c r="I97" i="2" s="1"/>
  <c r="C104" i="2"/>
  <c r="G104" i="2"/>
  <c r="H104" i="2" s="1"/>
  <c r="I104" i="2" s="1"/>
  <c r="C109" i="2"/>
  <c r="G109" i="2"/>
  <c r="H109" i="2" s="1"/>
  <c r="I109" i="2" s="1"/>
  <c r="C115" i="2"/>
  <c r="G115" i="2"/>
  <c r="H115" i="2" s="1"/>
  <c r="I115" i="2" s="1"/>
  <c r="C121" i="2"/>
  <c r="G121" i="2"/>
  <c r="H121" i="2" s="1"/>
  <c r="I121" i="2" s="1"/>
  <c r="C124" i="2"/>
  <c r="G124" i="2"/>
  <c r="H124" i="2" s="1"/>
  <c r="I124" i="2" s="1"/>
  <c r="C129" i="2"/>
  <c r="G129" i="2"/>
  <c r="H129" i="2" s="1"/>
  <c r="I129" i="2" s="1"/>
  <c r="C140" i="2"/>
  <c r="G140" i="2"/>
  <c r="C151" i="2"/>
  <c r="G151" i="2"/>
  <c r="C154" i="2"/>
  <c r="G154" i="2"/>
  <c r="C158" i="2"/>
  <c r="G158" i="2"/>
  <c r="C167" i="2"/>
  <c r="C165" i="2" s="1"/>
  <c r="G167" i="2"/>
  <c r="H167" i="2" s="1"/>
  <c r="I167" i="2" s="1"/>
  <c r="C173" i="2"/>
  <c r="G173" i="2"/>
  <c r="H173" i="2" s="1"/>
  <c r="I173" i="2" s="1"/>
  <c r="C150" i="2" l="1"/>
  <c r="H140" i="2"/>
  <c r="I140" i="2" s="1"/>
  <c r="H13" i="2"/>
  <c r="I13" i="2" s="1"/>
  <c r="C4" i="2"/>
  <c r="C3" i="2" s="1"/>
  <c r="H18" i="5"/>
  <c r="I18" i="5" s="1"/>
  <c r="K18" i="5"/>
  <c r="L18" i="5" s="1"/>
  <c r="H126" i="5"/>
  <c r="I126" i="5" s="1"/>
  <c r="K126" i="5"/>
  <c r="L126" i="5" s="1"/>
  <c r="H10" i="2"/>
  <c r="I10" i="2" s="1"/>
  <c r="K10" i="2"/>
  <c r="L10" i="2" s="1"/>
  <c r="K5" i="2"/>
  <c r="L5" i="2" s="1"/>
  <c r="K24" i="5"/>
  <c r="L24" i="5" s="1"/>
  <c r="H24" i="5"/>
  <c r="I24" i="5" s="1"/>
  <c r="H151" i="2"/>
  <c r="I151" i="2" s="1"/>
  <c r="K151" i="2"/>
  <c r="L151" i="2" s="1"/>
  <c r="H22" i="2"/>
  <c r="I22" i="2" s="1"/>
  <c r="K22" i="2"/>
  <c r="L22" i="2" s="1"/>
  <c r="H5" i="2"/>
  <c r="I5" i="2" s="1"/>
  <c r="K12" i="5"/>
  <c r="L12" i="5" s="1"/>
  <c r="H12" i="5"/>
  <c r="I12" i="5" s="1"/>
  <c r="G150" i="2"/>
  <c r="H154" i="2"/>
  <c r="I154" i="2" s="1"/>
  <c r="K154" i="2"/>
  <c r="L154" i="2" s="1"/>
  <c r="G4" i="2"/>
  <c r="H4" i="2" s="1"/>
  <c r="I4" i="2" s="1"/>
  <c r="H158" i="2"/>
  <c r="I158" i="2" s="1"/>
  <c r="K158" i="2"/>
  <c r="L158" i="2" s="1"/>
  <c r="K75" i="2"/>
  <c r="L75" i="2" s="1"/>
  <c r="K42" i="5"/>
  <c r="L42" i="5" s="1"/>
  <c r="H47" i="5"/>
  <c r="I47" i="5" s="1"/>
  <c r="K47" i="5"/>
  <c r="L47" i="5" s="1"/>
  <c r="K183" i="2"/>
  <c r="L183" i="2" s="1"/>
  <c r="K173" i="2"/>
  <c r="L173" i="2" s="1"/>
  <c r="K16" i="2"/>
  <c r="L16" i="2" s="1"/>
  <c r="G165" i="2"/>
  <c r="H165" i="2" s="1"/>
  <c r="I165" i="2" s="1"/>
  <c r="K129" i="2"/>
  <c r="L129" i="2" s="1"/>
  <c r="K124" i="2"/>
  <c r="L124" i="2" s="1"/>
  <c r="K121" i="2"/>
  <c r="L121" i="2" s="1"/>
  <c r="K115" i="2"/>
  <c r="L115" i="2" s="1"/>
  <c r="K109" i="2"/>
  <c r="L109" i="2" s="1"/>
  <c r="K104" i="2"/>
  <c r="L104" i="2" s="1"/>
  <c r="K97" i="2"/>
  <c r="L97" i="2" s="1"/>
  <c r="K91" i="2"/>
  <c r="L91" i="2" s="1"/>
  <c r="G67" i="2"/>
  <c r="H67" i="2" s="1"/>
  <c r="I67" i="2" s="1"/>
  <c r="K83" i="2"/>
  <c r="L83" i="2" s="1"/>
  <c r="K69" i="2"/>
  <c r="L69" i="2" s="1"/>
  <c r="K61" i="2"/>
  <c r="L61" i="2" s="1"/>
  <c r="G60" i="2"/>
  <c r="H60" i="2" s="1"/>
  <c r="I60" i="2" s="1"/>
  <c r="K13" i="2"/>
  <c r="L13" i="2" s="1"/>
  <c r="K25" i="2"/>
  <c r="L25" i="2" s="1"/>
  <c r="K167" i="2"/>
  <c r="L167" i="2" s="1"/>
  <c r="K140" i="2"/>
  <c r="L140" i="2" s="1"/>
  <c r="K64" i="2"/>
  <c r="L64" i="2" s="1"/>
  <c r="C67" i="2"/>
  <c r="C139" i="2"/>
  <c r="C114" i="2"/>
  <c r="C60" i="2"/>
  <c r="K35" i="5"/>
  <c r="L35" i="5" s="1"/>
  <c r="G34" i="5"/>
  <c r="H34" i="5" s="1"/>
  <c r="I34" i="5" s="1"/>
  <c r="K15" i="5"/>
  <c r="L15" i="5" s="1"/>
  <c r="K7" i="5"/>
  <c r="L7" i="5" s="1"/>
  <c r="G6" i="5"/>
  <c r="H6" i="5" s="1"/>
  <c r="I6" i="5" s="1"/>
  <c r="K27" i="5"/>
  <c r="L27" i="5" s="1"/>
  <c r="K57" i="5"/>
  <c r="L57" i="5" s="1"/>
  <c r="K60" i="5"/>
  <c r="L60" i="5" s="1"/>
  <c r="K63" i="5"/>
  <c r="L63" i="5" s="1"/>
  <c r="K66" i="5"/>
  <c r="L66" i="5" s="1"/>
  <c r="K69" i="5"/>
  <c r="L69" i="5" s="1"/>
  <c r="K73" i="5"/>
  <c r="L73" i="5" s="1"/>
  <c r="K76" i="5"/>
  <c r="L76" i="5" s="1"/>
  <c r="K79" i="5"/>
  <c r="L79" i="5" s="1"/>
  <c r="K82" i="5"/>
  <c r="L82" i="5" s="1"/>
  <c r="K85" i="5"/>
  <c r="L85" i="5" s="1"/>
  <c r="K89" i="5"/>
  <c r="L89" i="5" s="1"/>
  <c r="K92" i="5"/>
  <c r="L92" i="5" s="1"/>
  <c r="K95" i="5"/>
  <c r="L95" i="5" s="1"/>
  <c r="K98" i="5"/>
  <c r="L98" i="5" s="1"/>
  <c r="K101" i="5"/>
  <c r="L101" i="5" s="1"/>
  <c r="K111" i="5"/>
  <c r="L111" i="5" s="1"/>
  <c r="K114" i="5"/>
  <c r="L114" i="5" s="1"/>
  <c r="K117" i="5"/>
  <c r="L117" i="5" s="1"/>
  <c r="K120" i="5"/>
  <c r="L120" i="5" s="1"/>
  <c r="K123" i="5"/>
  <c r="L123" i="5" s="1"/>
  <c r="H76" i="5"/>
  <c r="I76" i="5" s="1"/>
  <c r="H79" i="5"/>
  <c r="I79" i="5" s="1"/>
  <c r="H82" i="5"/>
  <c r="I82" i="5" s="1"/>
  <c r="H85" i="5"/>
  <c r="I85" i="5" s="1"/>
  <c r="H57" i="5"/>
  <c r="I57" i="5" s="1"/>
  <c r="H60" i="5"/>
  <c r="I60" i="5" s="1"/>
  <c r="H63" i="5"/>
  <c r="I63" i="5" s="1"/>
  <c r="H66" i="5"/>
  <c r="I66" i="5" s="1"/>
  <c r="H69" i="5"/>
  <c r="I69" i="5" s="1"/>
  <c r="H73" i="5"/>
  <c r="I73" i="5" s="1"/>
  <c r="H89" i="5"/>
  <c r="I89" i="5" s="1"/>
  <c r="H92" i="5"/>
  <c r="I92" i="5" s="1"/>
  <c r="H95" i="5"/>
  <c r="I95" i="5" s="1"/>
  <c r="H98" i="5"/>
  <c r="I98" i="5" s="1"/>
  <c r="H101" i="5"/>
  <c r="I101" i="5" s="1"/>
  <c r="H111" i="5"/>
  <c r="I111" i="5" s="1"/>
  <c r="H114" i="5"/>
  <c r="I114" i="5" s="1"/>
  <c r="H117" i="5"/>
  <c r="I117" i="5" s="1"/>
  <c r="H120" i="5"/>
  <c r="I120" i="5" s="1"/>
  <c r="H123" i="5"/>
  <c r="I123" i="5" s="1"/>
  <c r="G139" i="2"/>
  <c r="G114" i="2"/>
  <c r="H114" i="2" s="1"/>
  <c r="I114" i="2" s="1"/>
  <c r="C56" i="5"/>
  <c r="C88" i="5"/>
  <c r="C110" i="5"/>
  <c r="C107" i="5" s="1"/>
  <c r="C130" i="5" s="1"/>
  <c r="G56" i="5"/>
  <c r="D56" i="5"/>
  <c r="D72" i="5"/>
  <c r="G72" i="5"/>
  <c r="G88" i="5"/>
  <c r="D88" i="5"/>
  <c r="G110" i="5"/>
  <c r="D110" i="5"/>
  <c r="D107" i="5" s="1"/>
  <c r="D130" i="5" s="1"/>
  <c r="C72" i="5"/>
  <c r="H139" i="2" l="1"/>
  <c r="I139" i="2" s="1"/>
  <c r="K165" i="2"/>
  <c r="L165" i="2" s="1"/>
  <c r="G3" i="2"/>
  <c r="G182" i="2" s="1"/>
  <c r="H182" i="2" s="1"/>
  <c r="I182" i="2" s="1"/>
  <c r="K4" i="2"/>
  <c r="L4" i="2" s="1"/>
  <c r="D55" i="5"/>
  <c r="D53" i="5" s="1"/>
  <c r="D105" i="5" s="1"/>
  <c r="H150" i="2"/>
  <c r="I150" i="2" s="1"/>
  <c r="K150" i="2"/>
  <c r="L150" i="2" s="1"/>
  <c r="K139" i="2"/>
  <c r="L139" i="2" s="1"/>
  <c r="K67" i="2"/>
  <c r="L67" i="2" s="1"/>
  <c r="K60" i="2"/>
  <c r="L60" i="2" s="1"/>
  <c r="K114" i="2"/>
  <c r="L114" i="2" s="1"/>
  <c r="C103" i="2"/>
  <c r="C182" i="2"/>
  <c r="K34" i="5"/>
  <c r="L34" i="5" s="1"/>
  <c r="G5" i="5"/>
  <c r="H5" i="5" s="1"/>
  <c r="I5" i="5" s="1"/>
  <c r="K6" i="5"/>
  <c r="L6" i="5" s="1"/>
  <c r="K88" i="5"/>
  <c r="L88" i="5" s="1"/>
  <c r="K56" i="5"/>
  <c r="L56" i="5" s="1"/>
  <c r="K110" i="5"/>
  <c r="L110" i="5" s="1"/>
  <c r="K72" i="5"/>
  <c r="L72" i="5" s="1"/>
  <c r="H88" i="5"/>
  <c r="I88" i="5" s="1"/>
  <c r="H72" i="5"/>
  <c r="I72" i="5" s="1"/>
  <c r="G107" i="5"/>
  <c r="H110" i="5"/>
  <c r="I110" i="5" s="1"/>
  <c r="H56" i="5"/>
  <c r="I56" i="5" s="1"/>
  <c r="G103" i="2"/>
  <c r="G55" i="5"/>
  <c r="C55" i="5"/>
  <c r="C53" i="5" s="1"/>
  <c r="C105" i="5" s="1"/>
  <c r="C133" i="5" s="1"/>
  <c r="D3" i="5" s="1"/>
  <c r="H103" i="2" l="1"/>
  <c r="I103" i="2" s="1"/>
  <c r="K3" i="2"/>
  <c r="L3" i="2" s="1"/>
  <c r="K182" i="2"/>
  <c r="L182" i="2" s="1"/>
  <c r="H3" i="2"/>
  <c r="I3" i="2" s="1"/>
  <c r="K103" i="2"/>
  <c r="L103" i="2" s="1"/>
  <c r="C59" i="2"/>
  <c r="G45" i="5"/>
  <c r="H45" i="5" s="1"/>
  <c r="I45" i="5" s="1"/>
  <c r="F3" i="5"/>
  <c r="F133" i="5" s="1"/>
  <c r="G3" i="5"/>
  <c r="K5" i="5"/>
  <c r="L5" i="5" s="1"/>
  <c r="D133" i="5"/>
  <c r="K55" i="5"/>
  <c r="L55" i="5" s="1"/>
  <c r="K107" i="5"/>
  <c r="L107" i="5" s="1"/>
  <c r="G53" i="5"/>
  <c r="H55" i="5"/>
  <c r="I55" i="5" s="1"/>
  <c r="G130" i="5"/>
  <c r="H107" i="5"/>
  <c r="I107" i="5" s="1"/>
  <c r="G59" i="2"/>
  <c r="H59" i="2" s="1"/>
  <c r="I59" i="2" s="1"/>
  <c r="H3" i="5" l="1"/>
  <c r="I3" i="5" s="1"/>
  <c r="K59" i="2"/>
  <c r="L59" i="2" s="1"/>
  <c r="C34" i="2"/>
  <c r="C163" i="2" s="1"/>
  <c r="C164" i="2" s="1"/>
  <c r="K45" i="5"/>
  <c r="L45" i="5" s="1"/>
  <c r="K3" i="5"/>
  <c r="H130" i="5"/>
  <c r="I130" i="5" s="1"/>
  <c r="K130" i="5"/>
  <c r="L130" i="5" s="1"/>
  <c r="K53" i="5"/>
  <c r="L53" i="5" s="1"/>
  <c r="G105" i="5"/>
  <c r="G133" i="5" s="1"/>
  <c r="H53" i="5"/>
  <c r="I53" i="5" s="1"/>
  <c r="G34" i="2"/>
  <c r="H34" i="2" l="1"/>
  <c r="I34" i="2" s="1"/>
  <c r="K34" i="2"/>
  <c r="L34" i="2" s="1"/>
  <c r="C172" i="2"/>
  <c r="C191" i="2"/>
  <c r="K105" i="5"/>
  <c r="L105" i="5" s="1"/>
  <c r="H105" i="5"/>
  <c r="I105" i="5" s="1"/>
  <c r="G163" i="2"/>
  <c r="G191" i="2" s="1"/>
  <c r="H163" i="2" l="1"/>
  <c r="I163" i="2" s="1"/>
  <c r="K163" i="2"/>
  <c r="L163" i="2" s="1"/>
  <c r="C193" i="2"/>
  <c r="K133" i="5"/>
  <c r="H133" i="5"/>
  <c r="I133" i="5" s="1"/>
  <c r="G164" i="2"/>
  <c r="H164" i="2" l="1"/>
  <c r="I164" i="2" s="1"/>
  <c r="H191" i="2"/>
  <c r="I191" i="2" s="1"/>
  <c r="K191" i="2"/>
  <c r="L191" i="2" s="1"/>
  <c r="K164" i="2"/>
  <c r="L164" i="2" s="1"/>
  <c r="L3" i="5"/>
  <c r="L133" i="5"/>
  <c r="G172" i="2"/>
  <c r="H172" i="2" l="1"/>
  <c r="I172" i="2" s="1"/>
  <c r="K172" i="2"/>
  <c r="L172" i="2" s="1"/>
  <c r="G193" i="2"/>
  <c r="H193" i="2" l="1"/>
  <c r="I193" i="2" s="1"/>
  <c r="K193" i="2"/>
  <c r="L193" i="2" s="1"/>
</calcChain>
</file>

<file path=xl/sharedStrings.xml><?xml version="1.0" encoding="utf-8"?>
<sst xmlns="http://schemas.openxmlformats.org/spreadsheetml/2006/main" count="1303" uniqueCount="939">
  <si>
    <t>Kods</t>
  </si>
  <si>
    <t>A</t>
  </si>
  <si>
    <t>I   IEŅĒMUMI NO SAIMNIECISKĀS DARBĪBAS KOPĀ</t>
  </si>
  <si>
    <t>Valsts budžeta līdzekļi</t>
  </si>
  <si>
    <t xml:space="preserve">stacionārai palīdzībai </t>
  </si>
  <si>
    <t>pacientu iemaksas par atbrīvotajām kategorijām (stacionāram)</t>
  </si>
  <si>
    <t>ambulatorai palīdzībai</t>
  </si>
  <si>
    <t>pacientu iemaksas par atbrīvotajām kategorijām (ambulatorai p.)</t>
  </si>
  <si>
    <t>asins sagatavošanas nodaļas pakalpojumiem</t>
  </si>
  <si>
    <t>citi ieņēmumi (piem.reģistru uztur., retajiem medikam. utt.)</t>
  </si>
  <si>
    <t>Ieņēmumi par valsts finansēto zinātnisko darbību (TOP;GRANTI)</t>
  </si>
  <si>
    <t>Valsts pārvaldes deleģēto uzdevumu veikšana (Černobiļas apliecības izsniegšana)</t>
  </si>
  <si>
    <t>Pakalpojumi no maznodrošinātajiem</t>
  </si>
  <si>
    <t>Dotācija no pašvaldības budžeta</t>
  </si>
  <si>
    <t>Uzņēmuma  nopelnītie līdzekļi</t>
  </si>
  <si>
    <t>pārējie saimnieciskās darbības ieņēmumi</t>
  </si>
  <si>
    <t>Saņemtās pacientu iemaksas (stacionāram)</t>
  </si>
  <si>
    <t>Saņemtās pacientu iemaksas (ambulatorai p.)</t>
  </si>
  <si>
    <t>Ziedojumi</t>
  </si>
  <si>
    <t>Pacienta līdzmaksājums par operāciju</t>
  </si>
  <si>
    <t>B</t>
  </si>
  <si>
    <t>1000</t>
  </si>
  <si>
    <t>ATLĪDZĪBA</t>
  </si>
  <si>
    <t>Atalgojums - kopā</t>
  </si>
  <si>
    <t>Mēneša amatalga</t>
  </si>
  <si>
    <t>Samaksa par darbu svētku dienās un virsstundu darbu</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</si>
  <si>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</si>
  <si>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</si>
  <si>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</si>
  <si>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</si>
  <si>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</si>
  <si>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</si>
  <si>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</si>
  <si>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Valsts sociālās apdrošināšanas  obligātās iemaksas</t>
  </si>
  <si>
    <t>Darba devēja sociāla rakstura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</si>
  <si>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</si>
  <si>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</si>
  <si>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</si>
  <si>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</si>
  <si>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</si>
  <si>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</si>
  <si>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Dienas nauda</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</si>
  <si>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</si>
  <si>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</si>
  <si>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</si>
  <si>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</si>
  <si>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</si>
  <si>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</si>
  <si>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Normatīvajos aktos noteiktie darba devēja veselības izdevumi darba ņēmējiem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</si>
  <si>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</si>
  <si>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</si>
  <si>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</si>
  <si>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</si>
  <si>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</si>
  <si>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</si>
  <si>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</si>
  <si>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</si>
  <si>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</si>
  <si>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</si>
  <si>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</si>
  <si>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</si>
  <si>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Maksājumi par saņemtajiem finanšu pakalpojumiem</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</si>
  <si>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</si>
  <si>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</si>
  <si>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</si>
  <si>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</si>
  <si>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</si>
  <si>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</si>
  <si>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</si>
  <si>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</si>
  <si>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</si>
  <si>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</si>
  <si>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</si>
  <si>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</si>
  <si>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</si>
  <si>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</si>
  <si>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</si>
  <si>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</si>
  <si>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</si>
  <si>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</si>
  <si>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</si>
  <si>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</si>
  <si>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</si>
  <si>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</si>
  <si>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Pakalpojumi, kurus budžeta iestādes apmaksā noteikto funkciju ietvaros, kas nav iestādes administratīvie izdevumi</t>
  </si>
  <si>
    <t>PROCENTU IZDEVUMI</t>
  </si>
  <si>
    <t>Procentu maksājumi ārvalstu un starptautiskajām finanšu institūcijām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</si>
  <si>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</si>
  <si>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</si>
  <si>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</si>
  <si>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Pārējie procentu maksājumi</t>
  </si>
  <si>
    <t>Procentu maksājumi Valsts kasei</t>
  </si>
  <si>
    <t>C</t>
  </si>
  <si>
    <t>KOPĀ IZDEVUMI</t>
  </si>
  <si>
    <t>D</t>
  </si>
  <si>
    <t>N O L I E T O J U M S</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</si>
  <si>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</si>
  <si>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</si>
  <si>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</si>
  <si>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</si>
  <si>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</si>
  <si>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</si>
  <si>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</si>
  <si>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</si>
  <si>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</si>
  <si>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</si>
  <si>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</si>
  <si>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</si>
  <si>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</si>
  <si>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</si>
  <si>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</si>
  <si>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</si>
  <si>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</si>
  <si>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</si>
  <si>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</si>
  <si>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</si>
  <si>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Atliktā UIN saistības</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</si>
  <si>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</si>
  <si>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</si>
  <si>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</si>
  <si>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</si>
  <si>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</si>
  <si>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</si>
  <si>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</si>
  <si>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</si>
  <si>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</si>
  <si>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</si>
  <si>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</si>
  <si>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</si>
  <si>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</si>
  <si>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</si>
  <si>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</si>
  <si>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</si>
  <si>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</si>
  <si>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</si>
  <si>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</si>
  <si>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</si>
  <si>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</si>
  <si>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</si>
  <si>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00143</t>
  </si>
  <si>
    <t>00144</t>
  </si>
  <si>
    <t>0020</t>
  </si>
  <si>
    <t>00211</t>
  </si>
  <si>
    <t>0030</t>
  </si>
  <si>
    <t>maksas veselības aprūpes pakalpojumi</t>
  </si>
  <si>
    <t>maksas sociālie pakalpojumi</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</si>
  <si>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</si>
  <si>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</si>
  <si>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</si>
  <si>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</si>
  <si>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</si>
  <si>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</si>
  <si>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</si>
  <si>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</si>
  <si>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</si>
  <si>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</si>
  <si>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</si>
  <si>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</si>
  <si>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</si>
  <si>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</si>
  <si>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</si>
  <si>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</si>
  <si>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</si>
  <si>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</si>
  <si>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</si>
  <si>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Procentu maksājumi iekšzemes finanšu institūcijām par aizņēmumiem un vērtspapīriem</t>
  </si>
  <si>
    <t>Līzinga procentu maksājumi</t>
  </si>
  <si>
    <t>Procentu maksājumi par aizņēmumiem no pašvaldību budžeta</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</si>
  <si>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</si>
  <si>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</si>
  <si>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</si>
  <si>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</si>
  <si>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</si>
  <si>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</si>
  <si>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</si>
  <si>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</si>
  <si>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</si>
  <si>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</si>
  <si>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</si>
  <si>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</si>
  <si>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H</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</si>
  <si>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</si>
  <si>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</si>
  <si>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</si>
  <si>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</si>
  <si>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</si>
  <si>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</si>
  <si>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</si>
  <si>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</si>
  <si>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</si>
  <si>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</si>
  <si>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</si>
  <si>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</si>
  <si>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</si>
  <si>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</si>
  <si>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</si>
  <si>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</si>
  <si>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</si>
  <si>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</si>
  <si>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</si>
  <si>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</si>
  <si>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</si>
  <si>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</si>
  <si>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</si>
  <si>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</si>
  <si>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</si>
  <si>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</si>
  <si>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</si>
  <si>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</si>
  <si>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</si>
  <si>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</si>
  <si>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</si>
  <si>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</si>
  <si>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</si>
  <si>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</si>
  <si>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</si>
  <si>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</si>
  <si>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</si>
  <si>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</si>
  <si>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</si>
  <si>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</si>
  <si>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</si>
  <si>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</si>
  <si>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</si>
  <si>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</si>
  <si>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</si>
  <si>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</si>
  <si>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</si>
  <si>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</si>
  <si>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</si>
  <si>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</si>
  <si>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</si>
  <si>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</si>
  <si>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</si>
  <si>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</si>
  <si>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</si>
  <si>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</si>
  <si>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</si>
  <si>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</si>
  <si>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</si>
  <si>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</si>
  <si>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</si>
  <si>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</si>
  <si>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</si>
  <si>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</si>
  <si>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</si>
  <si>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</si>
  <si>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</si>
  <si>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</si>
  <si>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</si>
  <si>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</si>
  <si>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</si>
  <si>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</si>
  <si>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</si>
  <si>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</si>
  <si>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</si>
  <si>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</si>
  <si>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</si>
  <si>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</si>
  <si>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</si>
  <si>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</si>
  <si>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</si>
  <si>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</si>
  <si>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</si>
  <si>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</si>
  <si>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</si>
  <si>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</si>
  <si>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</si>
  <si>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</si>
  <si>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</si>
  <si>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</si>
  <si>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</si>
  <si>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</si>
  <si>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</si>
  <si>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</si>
  <si>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</si>
  <si>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</si>
  <si>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</si>
  <si>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</si>
  <si>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</si>
  <si>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</si>
  <si>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</si>
  <si>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Naturālie rādītāji</t>
  </si>
  <si>
    <t>23231</t>
  </si>
  <si>
    <t>23232</t>
  </si>
  <si>
    <t>VADC asins komponenti</t>
  </si>
  <si>
    <t>Medicīnas preces</t>
  </si>
  <si>
    <t>Implanti</t>
  </si>
  <si>
    <t>Medicīnas instrumenti</t>
  </si>
  <si>
    <t>Asins iegāde (izdevumi atlīdzībai donoriem)</t>
  </si>
  <si>
    <t>00311</t>
  </si>
  <si>
    <t>00312</t>
  </si>
  <si>
    <t>Kapitālais remonts un rekonstrukcija</t>
  </si>
  <si>
    <t>Kopā intelektuālie īpašumi</t>
  </si>
  <si>
    <t>Kopā nekustamie īpašumi</t>
  </si>
  <si>
    <t>Kopā kustamie īpašumi</t>
  </si>
  <si>
    <t>Kopā ieguldījumi</t>
  </si>
  <si>
    <t>Medicīnas un laboratoijas iekārtas t.sk.:</t>
  </si>
  <si>
    <t>Pārējās tehnoloģiskās iekārtas un mašīnas t.sk.:</t>
  </si>
  <si>
    <t>Pārējās licences, koncesijas un patenti, preču zīmes un tamlīdzīgas tiesības t.sk.:</t>
  </si>
  <si>
    <t>Saņemtās pacientu iemaksas (ambulatorai palīdzībai)</t>
  </si>
  <si>
    <t>pacientu iemaksas par atbrīvotajām kategorijām (ambulatorai palīdzībai)</t>
  </si>
  <si>
    <t>Atalgojums (1100)</t>
  </si>
  <si>
    <t>Darba devēja valsts sociālās apdrošināšanas obligātās iemaksas, sociāla rakstura pabalsti un kompensācijas (1200)</t>
  </si>
  <si>
    <t>Mācību, darba un dienesta komandējumi, darba braucieni (2100)</t>
  </si>
  <si>
    <t>Pakalpojumi (2200)</t>
  </si>
  <si>
    <t>Krājumi, materiāli, energoresursi, preces, biroja preces un inventārs, kurus neuzskaita kodā 5000 (2300; bez 2340)</t>
  </si>
  <si>
    <t>Zāles, ķimikālijas, laboratorijas preces, medicīniskās ierīces, medicīniskie instrumenti, laboratorijas dzīvnieki un to uzturēšana (2340)</t>
  </si>
  <si>
    <t>Procentu izdevumi (4000)</t>
  </si>
  <si>
    <t>Pārējie izdevumi (2400;2500; 2800)</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</si>
  <si>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</si>
  <si>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</si>
  <si>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</si>
  <si>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</si>
  <si>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</si>
  <si>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</si>
  <si>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</si>
  <si>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</si>
  <si>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</si>
  <si>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</si>
  <si>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</si>
  <si>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</si>
  <si>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</si>
  <si>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</si>
  <si>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</si>
  <si>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</si>
  <si>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</si>
  <si>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</si>
  <si>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Zāles (medikamenti)</t>
  </si>
  <si>
    <t>Medikamenti noteikto funkciju nodrošināšanai</t>
  </si>
  <si>
    <t>Bezmaksas saņemto medikamentu un medicīnas preču, kas novērtētas naudas izteiksmē izlietojums</t>
  </si>
  <si>
    <t>Darba devēja pabalsti un kompensācijas, no kā neaprēķina iedzīvotāju ienākuma nodokli un valsts sociālās apdrošināšanas obligātās iemaksas</t>
  </si>
  <si>
    <t>Citi ieņēmumi (Ieņēmumi no bez atlīdzības saņemtajām precēm, investīcijām u.tml.)</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</si>
  <si>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</si>
  <si>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</si>
  <si>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</si>
  <si>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</si>
  <si>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</si>
  <si>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</si>
  <si>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</si>
  <si>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</si>
  <si>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</si>
  <si>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</si>
  <si>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Sterilizācijas un dezinfekcijas līdzekļi</t>
  </si>
  <si>
    <t>Laboratorijas preces</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</si>
  <si>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</si>
  <si>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</si>
  <si>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</si>
  <si>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</si>
  <si>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</si>
  <si>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</si>
  <si>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</si>
  <si>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Procentu maksājumi ārvalstu un starptautiskajām finanšu institūcijām par aizņēmumiem un vērtspapīriem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</si>
  <si>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</si>
  <si>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</si>
  <si>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</si>
  <si>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</si>
  <si>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</si>
  <si>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</si>
  <si>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</si>
  <si>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Bilances posteņi</t>
  </si>
  <si>
    <t>Pašu kapitāls</t>
  </si>
  <si>
    <t>Pamatkapitāls</t>
  </si>
  <si>
    <t>Pārējās rezerves</t>
  </si>
  <si>
    <t>Nesadalītā peļņa:</t>
  </si>
  <si>
    <t>Iepriekšējo gadu nesadalītā peļņa</t>
  </si>
  <si>
    <t>Pārskata gada nesadalītā peļņa</t>
  </si>
  <si>
    <t>Uzkrājumi</t>
  </si>
  <si>
    <t>Kreditori</t>
  </si>
  <si>
    <t>Ilgtermiņa kreditori</t>
  </si>
  <si>
    <t>Aizņēmumi no kredītiestādēm</t>
  </si>
  <si>
    <t>Atliktā uzņēmuma ienākuma nodokļa saistības</t>
  </si>
  <si>
    <t>Citi aizņēmumi</t>
  </si>
  <si>
    <t>Nākamo periodu ieņēmumi</t>
  </si>
  <si>
    <t>Citi kreditori</t>
  </si>
  <si>
    <t>Īstermiņa kreditori</t>
  </si>
  <si>
    <t>No pircējiem saņemtie avansi</t>
  </si>
  <si>
    <t>Parādi piegādātājiem un darbuzņēmējiem</t>
  </si>
  <si>
    <t>Nodokļi un sociālās nodroš.maksājumi</t>
  </si>
  <si>
    <t>Pārējie kreditori</t>
  </si>
  <si>
    <t>Uzkrātās saistības</t>
  </si>
  <si>
    <t>PASĪVU KOPSUMMA (45 000+46 000+47 000+48 000)</t>
  </si>
  <si>
    <t>Ilgtermiņa ieguldījumi</t>
  </si>
  <si>
    <t>Nemateriālie ieguldījumi</t>
  </si>
  <si>
    <t>Koncesijas,patenti,licences</t>
  </si>
  <si>
    <t>Avansa maksājumi par nemater.ieguldījumiem</t>
  </si>
  <si>
    <t>Pamatlīdzekļi</t>
  </si>
  <si>
    <t>Zemes gabali,ēkas un būves un ilggadīgie stādījumi</t>
  </si>
  <si>
    <t>Iekārtas un mašīnas</t>
  </si>
  <si>
    <t>Pārējie pamatlīdzekļi un inventārs</t>
  </si>
  <si>
    <t>Pamatl.izveidošana un nepab.celtniecība</t>
  </si>
  <si>
    <t>Avansa maksājumi par pamatlīdzekļiem</t>
  </si>
  <si>
    <t>Ieguldījumi nomātos pamatlīdzekļos</t>
  </si>
  <si>
    <t>Ilgtermiņa finanšu ieguldījumi</t>
  </si>
  <si>
    <t>Līdzdalība radniecīgo uzņēmumu kapitālā</t>
  </si>
  <si>
    <t>Pārējie vērtspapīri un ieguldījumi fondos</t>
  </si>
  <si>
    <t>Apgrozāmie līdzekļi</t>
  </si>
  <si>
    <t>Krājumi</t>
  </si>
  <si>
    <t>Izejvielas, pamatmateriāli un palīgmateriāli</t>
  </si>
  <si>
    <t>Gatavie ražojumi un preces pārdošanai</t>
  </si>
  <si>
    <t>Avansa maksājumi par precēm</t>
  </si>
  <si>
    <t>Debitori</t>
  </si>
  <si>
    <t>Pircēju,pasūtītāju parādi</t>
  </si>
  <si>
    <t>Radniecīgo uzņēmumu parādi</t>
  </si>
  <si>
    <t>Citi debitori</t>
  </si>
  <si>
    <t>Nākamo periodu izmaksas</t>
  </si>
  <si>
    <t>Uzkrātie ieņēmumi</t>
  </si>
  <si>
    <t>Nauda</t>
  </si>
  <si>
    <t>AKTĪVU KOPSUMMA (50 000+51 000)</t>
  </si>
  <si>
    <t>Kredītsaistības  (21 000+22 000)</t>
  </si>
  <si>
    <t xml:space="preserve">Ilgtermiņa kredītsaistības kopā </t>
  </si>
  <si>
    <t xml:space="preserve">Īstermiņa kredītsaistības kopā </t>
  </si>
  <si>
    <t>00150</t>
  </si>
  <si>
    <t>Finansējums Tehnisko palīglīdzekļu centra funkciju nodrošināšanai</t>
  </si>
  <si>
    <t>00212</t>
  </si>
  <si>
    <t>Veselības aprūpes pakalpojumiem</t>
  </si>
  <si>
    <t>Sociāliem pakalpojumiem</t>
  </si>
  <si>
    <t>Ieņēmumi par valsts finansēto zinātnisko darbību (TOP; GRANTI)</t>
  </si>
  <si>
    <t>Pārējie komandējumu un darba braucienu izdevumi</t>
  </si>
  <si>
    <t>Izdevumi par sakaru pakalpojumiem</t>
  </si>
  <si>
    <t>Izdevumi par siltumenerģiju</t>
  </si>
  <si>
    <t>Izdevumi par ūdensapgādi un kanalizāciju</t>
  </si>
  <si>
    <t>Dažādi pakalpojumi</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</si>
  <si>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</si>
  <si>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</si>
  <si>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</si>
  <si>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</si>
  <si>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</si>
  <si>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</si>
  <si>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</si>
  <si>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</si>
  <si>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</si>
  <si>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</si>
  <si>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</si>
  <si>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</si>
  <si>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</si>
  <si>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</si>
  <si>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</si>
  <si>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</si>
  <si>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</si>
  <si>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</si>
  <si>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Valsts budžeta (Valsts kases) procentu maksājumi</t>
  </si>
  <si>
    <t>Pārējie iepriekš neklasificētie procentu maksājumi</t>
  </si>
  <si>
    <t>Nemateriālo ieguldījumu nolietojums</t>
  </si>
  <si>
    <t>Rādītāja nosaukums</t>
  </si>
  <si>
    <t>Neto apgrozījums</t>
  </si>
  <si>
    <t>Pārdotās produkcijas ražošanas izmaksas</t>
  </si>
  <si>
    <t>Bruto peļņa vai zaudējumi (no apgrozījuma)</t>
  </si>
  <si>
    <t>Pārdošanas izmaksas</t>
  </si>
  <si>
    <t>Administrācijas izmaksas</t>
  </si>
  <si>
    <t xml:space="preserve">Pārējie saimnieciskās darbības ieņēmumi </t>
  </si>
  <si>
    <t>Pārējie saimnieciskās darbības izmaksas</t>
  </si>
  <si>
    <t>Ieņēmumi no līdzdalības meitas un asociēto sabiedrību kapitālos</t>
  </si>
  <si>
    <t>Ieņēmumi no vērtspapīriem un aizdevumiem, kas veidojuši ilgtermiņa aizdevumus</t>
  </si>
  <si>
    <t>Pārējie procentu ieņēmumi un tamlīdzīgi ieņēmumi</t>
  </si>
  <si>
    <t>Ilgtermiņa finanšu ieguldījumi un īstermiņa vērtspapīru vērtības norakstīšana</t>
  </si>
  <si>
    <t>Procentu maksājumi un tamlīdzīgas izmaksas</t>
  </si>
  <si>
    <t>Peļņa vai zaudējumi pirms ārkārtas posteņiem un nodokļiem</t>
  </si>
  <si>
    <t>Ārkārtas ieņēmumi</t>
  </si>
  <si>
    <t>Ārkārtas izmaksas</t>
  </si>
  <si>
    <t>Ārkārtas peļņa vai zaudējumi pirms nodokļiem</t>
  </si>
  <si>
    <t>Uzņēmuma ienākuma nodoklis par pārskata periodu</t>
  </si>
  <si>
    <t>Atliktā nodokļa ieņēmumi vai izmaksas</t>
  </si>
  <si>
    <t>Pārējie nodokļi</t>
  </si>
  <si>
    <t>Pārskata perioda peļņa vai zaudējumi pēc nodokļiem</t>
  </si>
  <si>
    <t>Nr.p.k.</t>
  </si>
  <si>
    <t>Naudas plūsmas pozīcijas</t>
  </si>
  <si>
    <t>Citi ieņēmumi (piem.reģistru uztur., retajiem medikam. utt.)</t>
  </si>
  <si>
    <r>
      <t xml:space="preserve">Eiropas Struktūrfondi investīcijām kopā </t>
    </r>
    <r>
      <rPr>
        <i/>
        <sz val="14"/>
        <rFont val="Times New Roman"/>
        <family val="1"/>
      </rPr>
      <t>(sadalījumā pa projektiem un/vai finansējuma mērķiem)</t>
    </r>
  </si>
  <si>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</si>
  <si>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</si>
  <si>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</si>
  <si>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</si>
  <si>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</si>
  <si>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</si>
  <si>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</si>
  <si>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</si>
  <si>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</si>
  <si>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</si>
  <si>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</si>
  <si>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</si>
  <si>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</si>
  <si>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</si>
  <si>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</si>
  <si>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</si>
  <si>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</si>
  <si>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</si>
  <si>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</si>
  <si>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</si>
  <si>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</si>
  <si>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</si>
  <si>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</si>
  <si>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</si>
  <si>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</si>
  <si>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</si>
  <si>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</si>
  <si>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</si>
  <si>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</si>
  <si>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</si>
  <si>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</si>
  <si>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</si>
  <si>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</si>
  <si>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</si>
  <si>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</si>
  <si>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</si>
  <si>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</si>
  <si>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 xml:space="preserve">projektu vadītājiem, departamentu direktoriem un to vietniekiem, tehniskajam direktoram, kā arī sekojošām struktūrvienībām: komunikācijas, personāla vadības, finanšu, </t>
  </si>
  <si>
    <r>
      <t xml:space="preserve">Klienta dienas vidējā realizācijas maksa, </t>
    </r>
    <r>
      <rPr>
        <i/>
        <sz val="14"/>
        <rFont val="Times New Roman"/>
        <family val="1"/>
      </rPr>
      <t>euro</t>
    </r>
  </si>
  <si>
    <r>
      <t xml:space="preserve">Klienta dienas vidējā pašizmaksa, </t>
    </r>
    <r>
      <rPr>
        <i/>
        <sz val="14"/>
        <rFont val="Times New Roman"/>
        <family val="1"/>
      </rPr>
      <t>euro</t>
    </r>
  </si>
  <si>
    <r>
      <t xml:space="preserve">Vidējais sociālās aprūpes ilgums, </t>
    </r>
    <r>
      <rPr>
        <i/>
        <sz val="14"/>
        <rFont val="Times New Roman"/>
        <family val="1"/>
      </rPr>
      <t xml:space="preserve">dienas </t>
    </r>
  </si>
  <si>
    <r>
      <t>Ārsti</t>
    </r>
    <r>
      <rPr>
        <vertAlign val="superscript"/>
        <sz val="14"/>
        <rFont val="Times New Roman"/>
        <family val="1"/>
      </rPr>
      <t>3</t>
    </r>
  </si>
  <si>
    <r>
      <t>Ārstniecības un pacientu aprūpes personāls</t>
    </r>
    <r>
      <rPr>
        <vertAlign val="superscript"/>
        <sz val="14"/>
        <rFont val="Times New Roman"/>
        <family val="1"/>
      </rPr>
      <t>4</t>
    </r>
  </si>
  <si>
    <r>
      <t>Ārstniecības un pacientu aprūpes atbalsta personāls</t>
    </r>
    <r>
      <rPr>
        <vertAlign val="superscript"/>
        <sz val="14"/>
        <rFont val="Times New Roman"/>
        <family val="1"/>
      </rPr>
      <t>5</t>
    </r>
  </si>
  <si>
    <r>
      <t>Administrācija</t>
    </r>
    <r>
      <rPr>
        <vertAlign val="superscript"/>
        <sz val="14"/>
        <rFont val="Times New Roman"/>
        <family val="1"/>
      </rPr>
      <t>6</t>
    </r>
  </si>
  <si>
    <r>
      <t>Pārējais personāls (t.sk. sanitāri)</t>
    </r>
    <r>
      <rPr>
        <vertAlign val="superscript"/>
        <sz val="14"/>
        <rFont val="Times New Roman"/>
        <family val="1"/>
      </rPr>
      <t>7</t>
    </r>
  </si>
  <si>
    <r>
      <t xml:space="preserve">Darbinieku </t>
    </r>
    <r>
      <rPr>
        <b/>
        <u/>
        <sz val="14"/>
        <rFont val="Times New Roman"/>
        <family val="1"/>
      </rPr>
      <t xml:space="preserve">vidējie </t>
    </r>
    <r>
      <rPr>
        <b/>
        <sz val="14"/>
        <rFont val="Times New Roman"/>
        <family val="1"/>
      </rPr>
      <t xml:space="preserve">ienākumi mēnesī: </t>
    </r>
  </si>
  <si>
    <r>
      <t>Kopējā slimnīcas telpu platība  (m</t>
    </r>
    <r>
      <rPr>
        <vertAlign val="superscript"/>
        <sz val="14"/>
        <rFont val="Times New Roman"/>
        <family val="1"/>
      </rPr>
      <t>2</t>
    </r>
    <r>
      <rPr>
        <sz val="14"/>
        <rFont val="Times New Roman"/>
        <family val="1"/>
      </rPr>
      <t>), t.sk.:</t>
    </r>
  </si>
  <si>
    <r>
      <t>Ūdens patēriņš  ( m</t>
    </r>
    <r>
      <rPr>
        <vertAlign val="superscript"/>
        <sz val="14"/>
        <rFont val="Times New Roman"/>
        <family val="1"/>
      </rPr>
      <t>3</t>
    </r>
    <r>
      <rPr>
        <sz val="14"/>
        <rFont val="Times New Roman"/>
        <family val="1"/>
      </rPr>
      <t>)</t>
    </r>
  </si>
  <si>
    <r>
      <t>Kanalizācija  (m</t>
    </r>
    <r>
      <rPr>
        <vertAlign val="superscript"/>
        <sz val="14"/>
        <rFont val="Times New Roman"/>
        <family val="1"/>
      </rPr>
      <t>3</t>
    </r>
    <r>
      <rPr>
        <sz val="14"/>
        <rFont val="Times New Roman"/>
        <family val="1"/>
      </rPr>
      <t>)</t>
    </r>
  </si>
  <si>
    <r>
      <t>Stacionāro pakalpojumu sniegšanai izmantotie medikamenti uz gultas dienu</t>
    </r>
    <r>
      <rPr>
        <vertAlign val="superscript"/>
        <sz val="14"/>
        <rFont val="Times New Roman"/>
        <family val="1"/>
      </rPr>
      <t>8</t>
    </r>
  </si>
  <si>
    <r>
      <rPr>
        <vertAlign val="superscript"/>
        <sz val="14"/>
        <rFont val="Times New Roman"/>
        <family val="1"/>
      </rPr>
      <t>1</t>
    </r>
    <r>
      <rPr>
        <sz val="14"/>
        <rFont val="Times New Roman"/>
        <family val="1"/>
      </rPr>
      <t>- ar jēdzienu "vidējais" saprotams rādītāja vērtība katra mēneša pēdējā datumā un summu dalot ar mēnešu skaitu pārskata periodā</t>
    </r>
  </si>
  <si>
    <r>
      <rPr>
        <vertAlign val="superscript"/>
        <sz val="14"/>
        <rFont val="Times New Roman"/>
        <family val="1"/>
      </rPr>
      <t>2</t>
    </r>
    <r>
      <rPr>
        <sz val="14"/>
        <rFont val="Times New Roman"/>
        <family val="1"/>
      </rPr>
      <t>- hospitalizāciju skaits, bez fiktīvās izrakstīšanās (kustība 39) attiecīgā perioda ietvaros</t>
    </r>
  </si>
  <si>
    <r>
      <rPr>
        <vertAlign val="superscript"/>
        <sz val="14"/>
        <rFont val="Times New Roman"/>
        <family val="1"/>
      </rPr>
      <t>3</t>
    </r>
    <r>
      <rPr>
        <sz val="14"/>
        <rFont val="Times New Roman"/>
        <family val="1"/>
      </rPr>
      <t>- sertificēti  ārsti, zobārsti un funkcionālie speciālisti, reģistrēti ārsti, zobārsti un funkcionālie speciālisti, rezidenti</t>
    </r>
  </si>
  <si>
    <r>
      <rPr>
        <vertAlign val="superscript"/>
        <sz val="14"/>
        <rFont val="Times New Roman"/>
        <family val="1"/>
      </rPr>
      <t>4</t>
    </r>
    <r>
      <rPr>
        <sz val="14"/>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</si>
  <si>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4"/>
        <rFont val="Times New Roman"/>
        <family val="1"/>
      </rPr>
      <t>5</t>
    </r>
    <r>
      <rPr>
        <sz val="14"/>
        <rFont val="Times New Roman"/>
        <family val="1"/>
      </rPr>
      <t>- māsu palīgi, zobārsta asistenti</t>
    </r>
  </si>
  <si>
    <r>
      <rPr>
        <vertAlign val="superscript"/>
        <sz val="14"/>
        <rFont val="Times New Roman"/>
        <family val="1"/>
      </rPr>
      <t>6</t>
    </r>
    <r>
      <rPr>
        <sz val="14"/>
        <rFont val="Times New Roman"/>
        <family val="1"/>
      </rPr>
      <t>- valde, padome, valdes/padomes birojs, ārstniecības personām, kuras tiešā veidā nav saistītas ar pacientu ārstēšanu -  klīniku vadītājiem, virsārstiem, profila virsārstiem, vecākajiem ārstiem, galvenajām māsām, ārstiem koordinatoriem u.c</t>
    </r>
  </si>
  <si>
    <r>
      <rPr>
        <vertAlign val="superscript"/>
        <sz val="14"/>
        <rFont val="Times New Roman"/>
        <family val="1"/>
      </rPr>
      <t>7</t>
    </r>
    <r>
      <rPr>
        <sz val="14"/>
        <rFont val="Times New Roman"/>
        <family val="1"/>
      </rPr>
      <t>- Saimnieciskais personāls, ārstniecības un aprūpes procesu atbalsta personāls (t.sk. sanitāri)</t>
    </r>
  </si>
  <si>
    <r>
      <rPr>
        <vertAlign val="superscript"/>
        <sz val="14"/>
        <rFont val="Times New Roman"/>
        <family val="1"/>
      </rPr>
      <t>8</t>
    </r>
    <r>
      <rPr>
        <sz val="14"/>
        <rFont val="Times New Roman"/>
        <family val="1"/>
      </rPr>
      <t>- Medikamenti, medicīnas preces, implanti, sterilizācijas materiāli, medicīnas instrumenti, laboratorijas preces stacionāro pakalpojumu nodrošināšanai (bez bezmaksas medikamnetiem un med. Precēm)/ Stacionāra gultu dienu skaits</t>
    </r>
  </si>
  <si>
    <t>Kopējais stacionēto pacientu īpatsvars  no kopējā gadījumu skaita uzņemšanas nodaļā, % (23212/23110)</t>
  </si>
  <si>
    <t>Vidējais gultu noslogojums diennakts stacionārā, %</t>
  </si>
  <si>
    <t>Vidējais gultu noslogojums dienas stacionārā, %</t>
  </si>
  <si>
    <t>16 Izdevumi kapitālajiem ieguldījumiem nomātajos pamatlīdzekļos</t>
  </si>
  <si>
    <t>2 Attīstības pasākumu un programmu izmaksas un izdevumus, ja zināms, ka projektu pabeigs un no projekta rezultātiem budžeta iestāde turpmāk gūs labumu. Attīstības pasākumi un programmas ir pētniecības, atklājumu vai citu zināšanu izmantošana jaunu (vai būtiski uzlabotu) materiālu, ierīču, produktu, procesu, sistēmu vai pakalpojumu ražošanas plānā vai izstrādē pirms komerciālas ražošanas vai izmantošanas uzsākšanas. Šo kodu piemēro arī tehniskajām izstrādēm, kas sagatavo pētniecības rezultātu līdz izmēģinājuma paraugam</t>
  </si>
  <si>
    <t>3 Izdevumi datorprogrammām un to licencēm</t>
  </si>
  <si>
    <t>4 Izdevumi pārējiem iepriekš neklasificētiem nemateriāliem aktīviem</t>
  </si>
  <si>
    <t>5 Izdevumi nedzīvojamām ēkām, kuras izmanto pašu vajadzībām, kā arī izīrējamām un iznomājamām nedzīvojamām ēkām. Nedzīvojamās ēkas ir ēkas, kuras netiek izmantotas vai nav paredzētas dzīvošanai, ieskaitot aprīkojumu, ierīces un iekārtas, kas ir ēku neatņemama sastāvdaļa.</t>
  </si>
  <si>
    <t>6 Izdevumi zemes iegādei, uz kuras uzbūvētas ēkas vai to pamati. Piemēro arī pagalmu, dārzu teritoriju un to iebrauktuvju (ko uzskata par mājas neatdalāmu sastāvdaļu) iegādes izmaksām.</t>
  </si>
  <si>
    <t>7 Izdevumi pārējās iepriekš neklasificētās zemes (karjeri, kapu teritorijas, meža zemes) iegādei</t>
  </si>
  <si>
    <t>8 Izdevumi celtnēm, būvēm, izbūvēm, ieskaitot aprīkojumu, ierīces un iekārtas, kas ir celtņu un būvju neatņemama sastāvdaļa (ūdens uzkrāšanas būves, meliorācijas sistēmas, sakaru un elektropārvades līnijas, cauruļvadus, ūdensvadu, siltumtrašu, kanalizācijas tīklus, sporta, atpūtas būves un citas būves un celtnes).</t>
  </si>
  <si>
    <t>9 Izdevumi pārējā iepriekš neklasificētā nekustamā īpašuma iegādei</t>
  </si>
  <si>
    <t>10 Izdevumi nepabeigtajai būvniecībai līdz objekta nodošanai ekspluatācijā</t>
  </si>
  <si>
    <t>11 Izdevumi iekārtām un mašīnām, ko izmanto budžeta iestādes pašas vajadzībām tās funkciju vai pakalpojumu izpildes nodrošināšanai (iekārtas, mēraparatūra, regulēšanas ierīces, laboratoriju un medicīnas iekārtas)</t>
  </si>
  <si>
    <t>12 Izdevumi tādiem pamatlīdzekļiem kā automobiļi, motocikli, velosipēdi, piekabes, puspiekabes, dzelzceļa lokomotīves un citi transportlīdzekļi</t>
  </si>
  <si>
    <t>13 Izdevumi tādiem pamatlīdzekļiem kā kancelejas mēbeles, ledusskapji, televizori, mikroviļņu krāsnis, lustras un pārējā telpu iekārta. Kodā uzskaita tos pamatlīdzekļus, kurus izmanto iestādes saimnieciskās darbības nodrošināšanai</t>
  </si>
  <si>
    <t>14 Izdevumiem tādiem ilgtermiņa aktīviem kā datori, serveri, kopētāji, faksa aparāti, telefoni, telefonu centrāles un cita biroja tehnika</t>
  </si>
  <si>
    <t>15 Izdvumi citu iepriekš neklasificētu pamatlīdzekļu iegādei un izdevumu atzīšanā</t>
  </si>
  <si>
    <r>
      <t xml:space="preserve">Attīstības pasākumi un programmas </t>
    </r>
    <r>
      <rPr>
        <vertAlign val="superscript"/>
        <sz val="14"/>
        <rFont val="Times New Roman"/>
        <family val="1"/>
      </rPr>
      <t xml:space="preserve">2 </t>
    </r>
    <r>
      <rPr>
        <sz val="14"/>
        <rFont val="Times New Roman"/>
        <family val="1"/>
      </rPr>
      <t xml:space="preserve"> t.sk.:</t>
    </r>
  </si>
  <si>
    <r>
      <t xml:space="preserve">Datorprogrammas </t>
    </r>
    <r>
      <rPr>
        <vertAlign val="superscript"/>
        <sz val="14"/>
        <rFont val="Times New Roman"/>
        <family val="1"/>
      </rPr>
      <t xml:space="preserve">3 </t>
    </r>
    <r>
      <rPr>
        <sz val="14"/>
        <rFont val="Times New Roman"/>
        <family val="1"/>
      </rPr>
      <t xml:space="preserve"> t.sk.:</t>
    </r>
  </si>
  <si>
    <r>
      <t xml:space="preserve">Pārējie nemateriālie ieguldījumi </t>
    </r>
    <r>
      <rPr>
        <vertAlign val="superscript"/>
        <sz val="14"/>
        <rFont val="Times New Roman"/>
        <family val="1"/>
      </rPr>
      <t>4</t>
    </r>
    <r>
      <rPr>
        <sz val="14"/>
        <rFont val="Times New Roman"/>
        <family val="1"/>
      </rPr>
      <t xml:space="preserve">  t.sk.:</t>
    </r>
  </si>
  <si>
    <r>
      <t xml:space="preserve">Nedzīvojamās ēkas </t>
    </r>
    <r>
      <rPr>
        <vertAlign val="superscript"/>
        <sz val="14"/>
        <rFont val="Times New Roman"/>
        <family val="1"/>
      </rPr>
      <t>5</t>
    </r>
  </si>
  <si>
    <r>
      <t xml:space="preserve">Zeme zem ēkām un būvēm </t>
    </r>
    <r>
      <rPr>
        <vertAlign val="superscript"/>
        <sz val="14"/>
        <rFont val="Times New Roman"/>
        <family val="1"/>
      </rPr>
      <t>6</t>
    </r>
  </si>
  <si>
    <r>
      <t xml:space="preserve">Pārējā zeme </t>
    </r>
    <r>
      <rPr>
        <vertAlign val="superscript"/>
        <sz val="14"/>
        <rFont val="Times New Roman"/>
        <family val="1"/>
      </rPr>
      <t>7</t>
    </r>
  </si>
  <si>
    <r>
      <t xml:space="preserve">Celtnes un būves </t>
    </r>
    <r>
      <rPr>
        <vertAlign val="superscript"/>
        <sz val="14"/>
        <rFont val="Times New Roman"/>
        <family val="1"/>
      </rPr>
      <t>8</t>
    </r>
  </si>
  <si>
    <r>
      <t xml:space="preserve">Pārējais nekustamais īpašums </t>
    </r>
    <r>
      <rPr>
        <vertAlign val="superscript"/>
        <sz val="14"/>
        <rFont val="Times New Roman"/>
        <family val="1"/>
      </rPr>
      <t>9</t>
    </r>
  </si>
  <si>
    <r>
      <t xml:space="preserve">Nepabeigtā būvniecība </t>
    </r>
    <r>
      <rPr>
        <vertAlign val="superscript"/>
        <sz val="14"/>
        <rFont val="Times New Roman"/>
        <family val="1"/>
      </rPr>
      <t>10</t>
    </r>
  </si>
  <si>
    <r>
      <t xml:space="preserve">Tehnoloģiskās iekārtas un mašīnas </t>
    </r>
    <r>
      <rPr>
        <vertAlign val="superscript"/>
        <sz val="14"/>
        <rFont val="Times New Roman"/>
        <family val="1"/>
      </rPr>
      <t xml:space="preserve">11 </t>
    </r>
    <r>
      <rPr>
        <sz val="14"/>
        <rFont val="Times New Roman"/>
        <family val="1"/>
      </rPr>
      <t xml:space="preserve"> t.sk.:</t>
    </r>
  </si>
  <si>
    <r>
      <t xml:space="preserve">Transportlīdzekļi </t>
    </r>
    <r>
      <rPr>
        <vertAlign val="superscript"/>
        <sz val="14"/>
        <rFont val="Times New Roman"/>
        <family val="1"/>
      </rPr>
      <t xml:space="preserve">12 </t>
    </r>
    <r>
      <rPr>
        <sz val="14"/>
        <rFont val="Times New Roman"/>
        <family val="1"/>
      </rPr>
      <t xml:space="preserve"> t.sk.:</t>
    </r>
  </si>
  <si>
    <r>
      <t xml:space="preserve">Saimniecības pamatlīdzekļi </t>
    </r>
    <r>
      <rPr>
        <vertAlign val="superscript"/>
        <sz val="14"/>
        <rFont val="Times New Roman"/>
        <family val="1"/>
      </rPr>
      <t>13</t>
    </r>
    <r>
      <rPr>
        <sz val="14"/>
        <rFont val="Times New Roman"/>
        <family val="1"/>
      </rPr>
      <t xml:space="preserve">  t.sk.:</t>
    </r>
  </si>
  <si>
    <r>
      <t xml:space="preserve">Datortehnika, sakaru un cita biroja tehnika </t>
    </r>
    <r>
      <rPr>
        <vertAlign val="superscript"/>
        <sz val="14"/>
        <rFont val="Times New Roman"/>
        <family val="1"/>
      </rPr>
      <t>14</t>
    </r>
    <r>
      <rPr>
        <sz val="14"/>
        <rFont val="Times New Roman"/>
        <family val="1"/>
      </rPr>
      <t xml:space="preserve"> t.sk.:</t>
    </r>
  </si>
  <si>
    <r>
      <t xml:space="preserve">Pārējie iepriekš neklasificētie pamatlīdzekļi </t>
    </r>
    <r>
      <rPr>
        <vertAlign val="superscript"/>
        <sz val="14"/>
        <rFont val="Times New Roman"/>
        <family val="1"/>
      </rPr>
      <t xml:space="preserve">15 </t>
    </r>
    <r>
      <rPr>
        <sz val="14"/>
        <rFont val="Times New Roman"/>
        <family val="1"/>
      </rPr>
      <t xml:space="preserve"> t.sk.:</t>
    </r>
  </si>
  <si>
    <r>
      <t xml:space="preserve">Ilgtermiņa ieguldījumi nomātajos pamatlīdzekļos </t>
    </r>
    <r>
      <rPr>
        <vertAlign val="superscript"/>
        <sz val="14"/>
        <rFont val="Times New Roman"/>
        <family val="1"/>
      </rPr>
      <t>16</t>
    </r>
    <r>
      <rPr>
        <sz val="14"/>
        <rFont val="Times New Roman"/>
        <family val="1"/>
      </rPr>
      <t xml:space="preserve"> t.sk.:</t>
    </r>
  </si>
  <si>
    <r>
      <t xml:space="preserve">Ieguldījumu pozīcija </t>
    </r>
    <r>
      <rPr>
        <vertAlign val="superscript"/>
        <sz val="14"/>
        <rFont val="Times New Roman"/>
        <family val="1"/>
      </rPr>
      <t>1</t>
    </r>
  </si>
  <si>
    <t>no ESF (Eiropas Struktūrfondi) līdzekļiem (sadalījumā pa projektiem), t.sk.</t>
  </si>
  <si>
    <t>no VGA (Valsts galvotais aizdevums) līdzekļiem (sadalījumā pa projektiem), t.sk.</t>
  </si>
  <si>
    <t>no Valsts budžeta līdzekļiem (sadalījumā pa pasākumiem/projektiem), t.sk.</t>
  </si>
  <si>
    <t>no pašu līdzekļiem (sadalījumā pa pasākumiem/projektiem), t.sk.</t>
  </si>
  <si>
    <t>no citiem līdzekļiem (sadalījumā pa pasākumiem/projektiem), t.sk.</t>
  </si>
  <si>
    <t>no ESF (Eiropas Struktūrfondi) līdzekļiem  (sadalījumā pa projektiem), t.sk.</t>
  </si>
  <si>
    <r>
      <t xml:space="preserve">Dotācija no pašvaldības budžeta kopā </t>
    </r>
    <r>
      <rPr>
        <i/>
        <sz val="14"/>
        <rFont val="Times New Roman"/>
        <family val="1"/>
      </rPr>
      <t>(sadalījumā pa projektiem un/vai finansējuma mērķiem), t.sk.</t>
    </r>
  </si>
  <si>
    <r>
      <t xml:space="preserve">Valsts budžeta līdzekļi kopā </t>
    </r>
    <r>
      <rPr>
        <i/>
        <sz val="14"/>
        <rFont val="Times New Roman"/>
        <family val="1"/>
      </rPr>
      <t>(sadalījumā pa projektiem un/vai finansējuma mērķiem), t.sk.</t>
    </r>
  </si>
  <si>
    <r>
      <t xml:space="preserve">Citi līdzekļi kopā </t>
    </r>
    <r>
      <rPr>
        <i/>
        <sz val="14"/>
        <rFont val="Times New Roman"/>
        <family val="1"/>
      </rPr>
      <t>(sadalījumā pa projektiem un/vai finansējuma mērķiem), t.sk.</t>
    </r>
  </si>
  <si>
    <r>
      <t xml:space="preserve">Ziedojumi </t>
    </r>
    <r>
      <rPr>
        <i/>
        <sz val="14"/>
        <rFont val="Times New Roman"/>
        <family val="1"/>
      </rPr>
      <t>(sadalījumā pa projektiem un/vai finansējuma mērķiem), t.sk.</t>
    </r>
  </si>
  <si>
    <r>
      <t xml:space="preserve">Pamatlīdzekļu un nemateriālo ieguldījumu iegāde kopā </t>
    </r>
    <r>
      <rPr>
        <b/>
        <vertAlign val="superscript"/>
        <sz val="14"/>
        <rFont val="Times New Roman"/>
        <family val="1"/>
      </rPr>
      <t>1</t>
    </r>
  </si>
  <si>
    <t>1 Aizpildot naudas plūsmas plānu pamatlīdzekļiem un nemateriāliem ieguldījumiem līdzīgie pamatlīdzekļi  pēc nomenklatūras  jāapvieno grupās, norādot iepērkamo pamatlīdzekļu daudzumu</t>
  </si>
  <si>
    <t>1 Aizpildot ieguldījumu tāmi līdzīgie pēc nomenklatūras pamatlīdzekļi un nemateriālie ieguldījumi jāapvieno grupās, norādot iepērkamo pamatlīdzekļu daudzumu</t>
  </si>
  <si>
    <t>Ārstniecības personu īpatsvars, kas veic virsstundu darbu, no kopējā ārtsniecības personu skaita, %</t>
  </si>
  <si>
    <r>
      <rPr>
        <vertAlign val="superscript"/>
        <sz val="14"/>
        <rFont val="Times New Roman"/>
        <family val="1"/>
      </rPr>
      <t xml:space="preserve">9 </t>
    </r>
    <r>
      <rPr>
        <sz val="14"/>
        <rFont val="Times New Roman"/>
        <family val="1"/>
      </rPr>
      <t>- 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</si>
  <si>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4"/>
        <rFont val="Times New Roman"/>
        <family val="1"/>
      </rPr>
      <t>10</t>
    </r>
    <r>
      <rPr>
        <sz val="11"/>
        <color theme="1"/>
        <rFont val="Calibri"/>
        <family val="2"/>
        <charset val="186"/>
        <scheme val="minor"/>
      </rPr>
      <t xml:space="preserve"> </t>
    </r>
    <r>
      <rPr>
        <sz val="14"/>
        <rFont val="Times New Roman"/>
        <family val="1"/>
      </rPr>
      <t>- rehospitalizāciju skaitā ieskaita pacientus, kas atkārtoti hospitalizēti tajā pašā vai nākamajā dienā, kuru nākamā hospitalizācija ir aprūpe vai rehabilitācija (atbilstoši NVD mājas lapā publicētā</t>
    </r>
  </si>
  <si>
    <t>"Pārskats par uz mājām izrakstītiem pacientiem, kas atkārtoti hospitalizēti tajā pašā vai nākamajā dienā" izslēgšanas kritērijos GPF kodam</t>
  </si>
  <si>
    <r>
      <rPr>
        <vertAlign val="superscript"/>
        <sz val="14"/>
        <rFont val="Times New Roman"/>
        <family val="1"/>
      </rPr>
      <t>11</t>
    </r>
    <r>
      <rPr>
        <sz val="14"/>
        <rFont val="Times New Roman"/>
        <family val="1"/>
      </rPr>
      <t>- atbilstoši NVD mājas lapā publocētajam "Valsts apmaksājamo manipulāciju un to apmaksas nosacījumu saraksts" Lielo ķirurģisko operāciju klasifikatoram (10.kolonna)</t>
    </r>
  </si>
  <si>
    <t>27200</t>
  </si>
  <si>
    <t>27110</t>
  </si>
  <si>
    <t>27300</t>
  </si>
  <si>
    <t>VEIDLAPAS AIZPILDĪŠANAS METODISKIE NORĀDĪJUMI</t>
  </si>
  <si>
    <t>N.p.k.</t>
  </si>
  <si>
    <t>t.sk. summa,
 kurai iestājies
 maks.termiņš</t>
  </si>
  <si>
    <t>Mazāk par 30 dienām kavētie maksājumi</t>
  </si>
  <si>
    <t>30 un vairāk dienas kavētie maksājumi</t>
  </si>
  <si>
    <t>Paskaidrojums</t>
  </si>
  <si>
    <t>1.</t>
  </si>
  <si>
    <t>1.2.</t>
  </si>
  <si>
    <t>1.2.1.</t>
  </si>
  <si>
    <t>…</t>
  </si>
  <si>
    <t>1.2.2.</t>
  </si>
  <si>
    <t>utt.</t>
  </si>
  <si>
    <t>1.3.</t>
  </si>
  <si>
    <t>1.3.1.</t>
  </si>
  <si>
    <t>1.3.2.</t>
  </si>
  <si>
    <t>1.4.</t>
  </si>
  <si>
    <t>1.4.1.</t>
  </si>
  <si>
    <t>1.4.2.</t>
  </si>
  <si>
    <t>1.5.</t>
  </si>
  <si>
    <t>1.5.1.</t>
  </si>
  <si>
    <t>1.5.2.</t>
  </si>
  <si>
    <t>1.6.</t>
  </si>
  <si>
    <t>1.6.1.</t>
  </si>
  <si>
    <t>1.6.2.</t>
  </si>
  <si>
    <t>2.</t>
  </si>
  <si>
    <t>2.1.</t>
  </si>
  <si>
    <t>2.1.1.</t>
  </si>
  <si>
    <t>2.1.2.</t>
  </si>
  <si>
    <t>2.2.</t>
  </si>
  <si>
    <t>2.2.1.</t>
  </si>
  <si>
    <t>2.2.2.</t>
  </si>
  <si>
    <t>2.3.</t>
  </si>
  <si>
    <t>2.3.1.</t>
  </si>
  <si>
    <t>2.3.2.</t>
  </si>
  <si>
    <t>2.4.</t>
  </si>
  <si>
    <t>2.4.1.</t>
  </si>
  <si>
    <t>2.4.2.</t>
  </si>
  <si>
    <t>2.5.</t>
  </si>
  <si>
    <t>2.5.1.</t>
  </si>
  <si>
    <t>2.5.2.</t>
  </si>
  <si>
    <t>2.6.</t>
  </si>
  <si>
    <t>2.6.1.</t>
  </si>
  <si>
    <t>2.6.2.</t>
  </si>
  <si>
    <t>2.7.</t>
  </si>
  <si>
    <t>2.7.1.</t>
  </si>
  <si>
    <t>2.7.2.</t>
  </si>
  <si>
    <t>2.8.</t>
  </si>
  <si>
    <t>2.8.1.</t>
  </si>
  <si>
    <t>2.8.2.</t>
  </si>
  <si>
    <t>Pārējie debitori</t>
  </si>
  <si>
    <t xml:space="preserve">Pozīcijas nosaukums   </t>
  </si>
  <si>
    <t>Atlikums uz pārskata perioda beigām</t>
  </si>
  <si>
    <t>1.1.</t>
  </si>
  <si>
    <t>3.</t>
  </si>
  <si>
    <t>4.</t>
  </si>
  <si>
    <t>4.1.</t>
  </si>
  <si>
    <t>4.2.</t>
  </si>
  <si>
    <t>5.</t>
  </si>
  <si>
    <t>5.1.</t>
  </si>
  <si>
    <t>5.2.</t>
  </si>
  <si>
    <t>6.</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</si>
  <si>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 2800, 4100, 4200, 4300, 5100, 5200, 0100, 8000.</t>
  </si>
  <si>
    <r>
      <t>Skaidrojumi</t>
    </r>
    <r>
      <rPr>
        <vertAlign val="superscript"/>
        <sz val="14"/>
        <rFont val="Times New Roman"/>
        <family val="1"/>
      </rPr>
      <t>2</t>
    </r>
  </si>
  <si>
    <t xml:space="preserve">  Skaidrojumi par novirzēm ir jāsniedz  sekojošiem Bilances posteņu kodiem: 45100, 45200, 45320, 46000, 47100, 47200, 49100, 49200, 49300, 50100, 50200, 50300.</t>
  </si>
  <si>
    <r>
      <rPr>
        <vertAlign val="superscript"/>
        <sz val="14"/>
        <rFont val="Times New Roman"/>
        <family val="1"/>
      </rPr>
      <t xml:space="preserve">2 </t>
    </r>
    <r>
      <rPr>
        <sz val="14"/>
        <rFont val="Times New Roman"/>
        <family val="1"/>
      </rPr>
      <t>Detalizēti skaidrojumi par faktisko Bilances posteņu noviržu iemesliem periodā no n gada sākuma līdz pārskata ceturkšņa beigām, kā arī par to izmaiņām, salīdzinot ar n-1 gada attiecīgo periodu, gadījumos, ja novirze faktisko Bilances posteņos ir virs 5%.</t>
    </r>
  </si>
  <si>
    <r>
      <rPr>
        <vertAlign val="superscript"/>
        <sz val="14"/>
        <rFont val="Times New Roman"/>
        <family val="1"/>
      </rPr>
      <t xml:space="preserve">2 </t>
    </r>
    <r>
      <rPr>
        <sz val="14"/>
        <rFont val="Times New Roman"/>
        <family val="1"/>
      </rPr>
      <t>Detalizēti skaidrojumi par faktisko Naudas plūsmas pozīciju noviržu iemesliem periodā no n gada sākuma līdz pārskata ceturkšņa beigām, kā arī par to izmaiņām, salīdzinot ar n-1 gada attiecīgo periodu, gadījumos, ja novirze faktisko Naudas plūsmas pozīcijās ir virs 5%.</t>
    </r>
  </si>
  <si>
    <r>
      <t>Skaidrojumi</t>
    </r>
    <r>
      <rPr>
        <vertAlign val="superscript"/>
        <sz val="14"/>
        <rFont val="Times New Roman"/>
        <family val="1"/>
      </rPr>
      <t>12</t>
    </r>
  </si>
  <si>
    <r>
      <rPr>
        <vertAlign val="superscript"/>
        <sz val="14"/>
        <rFont val="Times New Roman"/>
        <family val="1"/>
      </rPr>
      <t xml:space="preserve">12 </t>
    </r>
    <r>
      <rPr>
        <sz val="14"/>
        <rFont val="Times New Roman"/>
        <family val="1"/>
      </rPr>
      <t xml:space="preserve">Detalizēti skaidrojumi par Naturālo rādītāju noviržu iemesliem periodā no </t>
    </r>
    <r>
      <rPr>
        <i/>
        <sz val="14"/>
        <rFont val="Times New Roman"/>
        <family val="1"/>
      </rPr>
      <t>n</t>
    </r>
    <r>
      <rPr>
        <sz val="14"/>
        <rFont val="Times New Roman"/>
        <family val="1"/>
      </rPr>
      <t xml:space="preserve"> gada sākuma līdz pārskata ceturkšņa beigām, kā arī par to izmaiņām, salīdzinot ar </t>
    </r>
    <r>
      <rPr>
        <i/>
        <sz val="14"/>
        <rFont val="Times New Roman"/>
        <family val="1"/>
      </rPr>
      <t>n-1</t>
    </r>
    <r>
      <rPr>
        <sz val="14"/>
        <rFont val="Times New Roman"/>
        <family val="1"/>
      </rPr>
      <t xml:space="preserve"> gada attiecīgo periodu, gadījumos, ja novirze Naturālajos rādītājos ir virs 10%.</t>
    </r>
  </si>
  <si>
    <r>
      <t>Skaidrojumi</t>
    </r>
    <r>
      <rPr>
        <vertAlign val="superscript"/>
        <sz val="14"/>
        <rFont val="Times New Roman"/>
        <family val="1"/>
      </rPr>
      <t>17</t>
    </r>
  </si>
  <si>
    <t>17 Detalizēti skaidrojumi par faktisko ieguldījumu tāmes pozīciju noviržu iemesliem periodā no n gada sākuma līdz pārskata ceturkšņa beigām, kā arī par to izmaiņām, salīdzinot ar n-1 gada attiecīgo periodu, gadījumos, ja novirze faktisko ieguldījumu tāmes pozīcijās ir virs 5%.</t>
  </si>
  <si>
    <t xml:space="preserve">     Skaidrojumi par novirzēm ir jāsniedz  sekojošiem Ieguldījumu tāmes pozīciju kodiem: 51000, 52000 un 53000.</t>
  </si>
  <si>
    <t>2019.gada izpilde</t>
  </si>
  <si>
    <t>2020.gada
 plāns</t>
  </si>
  <si>
    <t>Novirze no 2020. gada pārskata perioda plāna</t>
  </si>
  <si>
    <t>Izmaiņas, salīdzinot ar 2019. gada attiecīgā perioda izpildi</t>
  </si>
  <si>
    <t>Izmaiņas, salīdzinot ar 2019. gada attiecīgā perioda izpildi, %</t>
  </si>
  <si>
    <t>Novirze no 2020. gada pārskata perioda plāna, %</t>
  </si>
  <si>
    <t>Novirze no 2020. gada pārskata perioda plāna, euro</t>
  </si>
  <si>
    <t>Izmaiņas, salīdzinot ar 2019. gada attiecīgā perioda izpildi, euro</t>
  </si>
  <si>
    <t>2020.gadā nav paredzēts ieguldīt līdzekļus  nemateriālajos ieguldījumos  - intelektuālajā īpašumā.</t>
  </si>
  <si>
    <t>Medicīnas un laboratoijas iekārtas</t>
  </si>
  <si>
    <t>Autotransfūzijas iekārtas piegāde</t>
  </si>
  <si>
    <t>Spēka un pneimatisko instrumentu komplektācijas daļu nomaiņa un papildināšana</t>
  </si>
  <si>
    <t>Pieres lampa ar akumulatoru ( 2. gab)</t>
  </si>
  <si>
    <t>Aktīvo un pasīvo kustību trenažieru piegāde gulošiem pacientiem</t>
  </si>
  <si>
    <t>Pacientu sildītāju piegāde</t>
  </si>
  <si>
    <t>Kombinētā grīdas uzkopšanas iekārtas piegāde</t>
  </si>
  <si>
    <t>Apavu mazgājamā mašīna</t>
  </si>
  <si>
    <t>Pārvietojamās operāciju lampas piegāde (1 gab.)</t>
  </si>
  <si>
    <t>Guļratu (5 gab.), sēdratu (11 gab.), mobilā manipulācijas galda māsai (6 gab.) un mobilā aprūpes galda māsas palīgam (6 gab.) piegāde</t>
  </si>
  <si>
    <t>Kondicionieru uzstādīšana un nomaiņa</t>
  </si>
  <si>
    <t>Spēka instrumentu komplektu piegāde operāciju vajadzībām</t>
  </si>
  <si>
    <t>Defibrilātoru piegāde</t>
  </si>
  <si>
    <t>Instrumentu piegāde spinālajām operācijām</t>
  </si>
  <si>
    <t>Instrumentu konteineru piegāde</t>
  </si>
  <si>
    <t>Stacionāra, pārvietojama baktericīda gaisa dezinfekcijas un attīrīšanas iekārtu (4 gab.) un medicīnas ledusskapju (4 gab.) piegāde</t>
  </si>
  <si>
    <t>Pacientu ventilācijas iekārtu piegāde ITN vajadzībām</t>
  </si>
  <si>
    <t>Metāla māsu galdiņu piegāde operāciju zālei  (6 gab.)</t>
  </si>
  <si>
    <t>Ventilācijas sistēmas rekonstrukcija</t>
  </si>
  <si>
    <t>Anestēzijas darba stacijas piegāde</t>
  </si>
  <si>
    <t>Elektriskā slimnīcas gultu pārvietojamā iekārta 25 gb</t>
  </si>
  <si>
    <t>Medicīnas iekārtu piegāde Patohistoloģijas un audu konservācijas laboratorijas vajadzībām</t>
  </si>
  <si>
    <t>Automātiskā ugunsgrēka atklāšanas un trauksmes signalizācijas sistēmas uzstādīšana</t>
  </si>
  <si>
    <t>Aprūpes priekšmetu mazgāšanas iekārtas piegāde</t>
  </si>
  <si>
    <t xml:space="preserve">Pārējās medicīnas un laboratoijas iekārtas </t>
  </si>
  <si>
    <t>Rentgena iekārta</t>
  </si>
  <si>
    <t xml:space="preserve">Univesāla mākslīgā plaušu ventilācijas iekārta </t>
  </si>
  <si>
    <t>Temperatūras reģistrētājs - 3 gb</t>
  </si>
  <si>
    <t>Groziņšķēres</t>
  </si>
  <si>
    <t xml:space="preserve">Rokasmotors </t>
  </si>
  <si>
    <t>Diskektoms - 13 gb</t>
  </si>
  <si>
    <t xml:space="preserve">Pārējās tehnoloģiskās iekārtas un mašīnas </t>
  </si>
  <si>
    <t xml:space="preserve">Saimniecības pamatlīdzekļi </t>
  </si>
  <si>
    <t>Dokumentu smalcinātāji</t>
  </si>
  <si>
    <t>Dīvāni - 5 gb</t>
  </si>
  <si>
    <t>Skapji -skapīši</t>
  </si>
  <si>
    <t>Galdiņi Sima Plus - 25 gb</t>
  </si>
  <si>
    <t>Ledusskapji</t>
  </si>
  <si>
    <t>Informatīvais stends</t>
  </si>
  <si>
    <t>Baktericīdie caurplūdes gaisa recirkulātori - 3 gb</t>
  </si>
  <si>
    <t>Putekļusūcējs - mugursoma</t>
  </si>
  <si>
    <t>Citi</t>
  </si>
  <si>
    <t>Datortehnika, sakaru un cita biroja tehnika t.sk.:</t>
  </si>
  <si>
    <t>Datori  - 15 gb</t>
  </si>
  <si>
    <t>Monitors skābeekļa rezervju novērošanai  - 1 gb</t>
  </si>
  <si>
    <t>Mobilie telefoni</t>
  </si>
  <si>
    <t>2020. gadā palielināts rezidentu apmācībām paredzētais finansējums no 1709.42 eur uz 1983.37 eur pirmā un otrā kursa studentiem un 2166.26 eur pārējo kursu studentiem.</t>
  </si>
  <si>
    <t>EKK tiek grāmatoti Valsts Asinsdonoru centra  Bezmaksas asins preperāti un SIA ORIOLA medikamenti, ko apmaksā Nacionālais veselības dienests.</t>
  </si>
  <si>
    <t xml:space="preserve">2020. gadā tika noslēgti jauni sadarbības līgumi ar Latvijas universitāti un Rīgas stradiņu universitāti, kas paredz viena rezidenta finansējumu 1983.37 eur (pirmais, otrais kurss) un 2166.26 eur pārējo kursu studentiem, līdzšinējo 1709.42 eur vietā. </t>
  </si>
  <si>
    <t>Pieprasījums pēc maksas pakalpojumiem samazinājies. Pārtraukti nomas līgumi.</t>
  </si>
  <si>
    <t>Samazinājies stacionāro pacientu skaits</t>
  </si>
  <si>
    <t>Samazinājies ambulatoro pacientu skaits</t>
  </si>
  <si>
    <t xml:space="preserve">piešķirti papildus līdzekļi </t>
  </si>
  <si>
    <t>samazinājies stacionāro pakalpojumu apjoms</t>
  </si>
  <si>
    <t>No Veselības norēķinu centra saņemtā investīciju nauda</t>
  </si>
  <si>
    <t xml:space="preserve">No ERAF saņemtā investīcija  (3DP/3.1.5.3.1/11/IPIA/VEC/013) </t>
  </si>
  <si>
    <t xml:space="preserve">No ERAF saņemtā investīcija  (3DP/3.1.5.3.1/10/IPIA/VEC/017) </t>
  </si>
  <si>
    <r>
      <t>No ERAF saņemtā investīcija  (9.3.2.0/17/I/002)</t>
    </r>
    <r>
      <rPr>
        <vertAlign val="superscript"/>
        <sz val="10"/>
        <rFont val="Times New Roman"/>
        <family val="1"/>
      </rPr>
      <t xml:space="preserve"> </t>
    </r>
  </si>
  <si>
    <t xml:space="preserve">No NVD projekta līguma Nr. 1936 </t>
  </si>
  <si>
    <t xml:space="preserve">No NVD projekta līguma Nr. 2550 </t>
  </si>
  <si>
    <t xml:space="preserve">No NVD projekta līguma Nr. 1874 </t>
  </si>
  <si>
    <r>
      <t>No pircējiem saņemtie avansi</t>
    </r>
    <r>
      <rPr>
        <i/>
        <sz val="10"/>
        <rFont val="Times New Roman"/>
        <family val="1"/>
      </rPr>
      <t xml:space="preserve"> (jānorāda 5 lielākos kreditorus, visus kavētos maksājumus un pārējo kreditoru kopsummu un kreditoru skaitu)</t>
    </r>
  </si>
  <si>
    <t>Ozols Andris</t>
  </si>
  <si>
    <r>
      <t xml:space="preserve">Parādi piegādātājiem un darbuzņēmējiem </t>
    </r>
    <r>
      <rPr>
        <i/>
        <sz val="10"/>
        <rFont val="Times New Roman"/>
        <family val="1"/>
      </rPr>
      <t>(jānorāda 5 lielākos kreditorus, visus kavētos maksājumus un pārējo kreditoru kopsummu un kreditoru skaitu)</t>
    </r>
  </si>
  <si>
    <t>Johonson AB Latvijas filiāle SIA</t>
  </si>
  <si>
    <t>Aleks un V SIA</t>
  </si>
  <si>
    <t>Sociālās nodrošināšanas iemaksas</t>
  </si>
  <si>
    <t>Iedzīvotāju ienākuma nodoklis</t>
  </si>
  <si>
    <t>Pievienotās vērtības nodoklis</t>
  </si>
  <si>
    <t>Nekustamā īpašuma nodoklis</t>
  </si>
  <si>
    <t>Dabas resursu nodoklis</t>
  </si>
  <si>
    <t>Uzņēmējdarbības riska nodeva</t>
  </si>
  <si>
    <r>
      <t xml:space="preserve">Pārējie kreditori </t>
    </r>
    <r>
      <rPr>
        <i/>
        <sz val="10"/>
        <rFont val="Times New Roman"/>
        <family val="1"/>
      </rPr>
      <t>(jānorāda 5 lielākos kreditorus, visus kavētos maksājumus un pārējo kreditoru kopsummu un kreditoru skaitu)</t>
    </r>
  </si>
  <si>
    <t>Neizmaksātās darba algas</t>
  </si>
  <si>
    <t xml:space="preserve">Pārējie kreditori   - 4 gb                                                  </t>
  </si>
  <si>
    <t>Saņemto pakalpojumu izmaksas</t>
  </si>
  <si>
    <t xml:space="preserve">Darbinieku neizmantotie atvaļinājumi par pārskata gadu </t>
  </si>
  <si>
    <t>Nacionālais veselības dienests</t>
  </si>
  <si>
    <t>Latvijas Universitāte</t>
  </si>
  <si>
    <t>Rīgas Stradiņa universitāte</t>
  </si>
  <si>
    <t>DPA SIA</t>
  </si>
  <si>
    <t>Visma Enterprise SIA</t>
  </si>
  <si>
    <t>HORIZON prgrammas abonēšanas maksa</t>
  </si>
  <si>
    <t>Uzkrājumi darbinieku neizmantotiem atvaļinājumiem pārskatā palielinājušies, jo tika palielināta darbiniekiem darba alga.</t>
  </si>
  <si>
    <t>2020. gada janvārī izmaksātas algas par 2019. gada decembri</t>
  </si>
  <si>
    <t>Palielinātas algas personālam no 01.01.2020. par aptuveni 8%.</t>
  </si>
  <si>
    <t>2020.g. ziemas mēnešos silto laikapstākļu dēļ mazāk pacientu ar akūtām traumām, kā arī samazināta pacientu plūsma COVID19 ārkārtas situācijas dēļ</t>
  </si>
  <si>
    <t xml:space="preserve"> Ievērojami samazināts ambulatoro pakalpojumu apjoms  COVID19 ārkārtas situācijas dēļ</t>
  </si>
  <si>
    <t xml:space="preserve"> Ievērojami samazināts  pakalpojumu apjoms dienas stacionārā COVID19 ārkārtas situācijas dēļ</t>
  </si>
  <si>
    <t xml:space="preserve"> Ievērojami samazināts pakalpojumu apjoms  dienas stacionārā COVID19 ārkārtas situācijas dēļ</t>
  </si>
  <si>
    <t>palielināta darba samaksa</t>
  </si>
  <si>
    <r>
      <t>Skaidrojumi</t>
    </r>
    <r>
      <rPr>
        <vertAlign val="superscript"/>
        <sz val="14"/>
        <rFont val="Times New Roman"/>
        <family val="1"/>
      </rPr>
      <t>1</t>
    </r>
  </si>
  <si>
    <r>
      <t>Skaidrojumi</t>
    </r>
    <r>
      <rPr>
        <vertAlign val="superscript"/>
        <sz val="12"/>
        <rFont val="Times New Roman"/>
        <family val="1"/>
      </rPr>
      <t>17</t>
    </r>
  </si>
  <si>
    <t>Palielinātas algas persnonālam no 01.01.2020. aptuveni par 8%. Valdei, saskaņā ar protokolu algas palielinātas no 22.05.2020..</t>
  </si>
  <si>
    <t xml:space="preserve"> No 2019. gada janvāra mainīts EKK no 1145 uz 1150 - atlīdzība par rezindetu apmācību(līgumdarbs)</t>
  </si>
  <si>
    <t>Ievērojami samazināta pacientu plūsma COVID19 ārkārtas situācijas dēļ</t>
  </si>
  <si>
    <t xml:space="preserve"> </t>
  </si>
  <si>
    <t>Ievērojami samazināts plānveida stacionāro pakalpojumu apjoms COVID19 ārkārtas situācijas dēļ</t>
  </si>
  <si>
    <t>LAGRON SIA</t>
  </si>
  <si>
    <t>Pircēju,pasūtītāju parādi (jānorāda 5 lielākos debitorus, visus kavētos maksājumus, pacientu parādu kopsummu un pārējo debitoru kopsummu un debitoru skaitu)</t>
  </si>
  <si>
    <t>Maksas medicīnas pakalpojumi</t>
  </si>
  <si>
    <t>3.1.</t>
  </si>
  <si>
    <t>Drošības naudas un maiņas naudas kasēs</t>
  </si>
  <si>
    <t>3.2.</t>
  </si>
  <si>
    <t>Pārmaksātais (iepriekš samaksātie nodokļi) pievienotās vērtības nodoklis</t>
  </si>
  <si>
    <t xml:space="preserve">Avansā samaksātais PVN </t>
  </si>
  <si>
    <t>Nākamo periodu izmaksas (jānorāda 5 lielākos debitorus un pārējo debitoru kopsummu un debitoru skaitu)</t>
  </si>
  <si>
    <t>Baltcom SIA</t>
  </si>
  <si>
    <t>Digitālā TV(publiskais), internets, telefonsakari</t>
  </si>
  <si>
    <t>Uzkrātie ieņēmumi (jānorāda 5 lielākos debitorus un pārējo debitoru kopsummu un debitoru skaitu)</t>
  </si>
  <si>
    <t>Videolaringaskops</t>
  </si>
  <si>
    <t>Hallo aparāts, modelis 1211</t>
  </si>
  <si>
    <t>Artroskopi -3 gb</t>
  </si>
  <si>
    <t>Portatīvs intubācijas bronhoskops FI-16RBS</t>
  </si>
  <si>
    <t>Ratiņi - 12 gb</t>
  </si>
  <si>
    <t>Palielinātas algas personālam no 01.01.2020. par aptuveni 8%. No 22.05.2020. palielinātas algas valdei. 2019. valdes vidējie ienākumi tika izdalīti no kopējiem vidējiem ienākumiem administrācijā, savukārt šogad vidējie ienākumi uzrādīti kopā, līdz ar to vērojams būtisks ienākumu pieaugums.Administrācijas algas vidēji pieaugušas par 6% un valdes algas par aptuveni 13%.</t>
  </si>
  <si>
    <t>No 22.05.2020. slimnīcas valdei saskaņā ar protokolu palielinātas algas</t>
  </si>
  <si>
    <t>Darbā pieņemto ārstu rezidentu īpatsvars ir lielāks par atbrīvotajiem, tika atvērta papildus viena fizioterapeita slodze.</t>
  </si>
  <si>
    <t>Tika slēgts veselības un aprūpes dokumentācijas un statistikas vadības ārsta amats un statistiķa palīga amats.</t>
  </si>
  <si>
    <t>Pacientu skaits periodā, kuriem sniegta neatliekamā medicīniskā palīdzība un tie novirzīti turpmākai ambulatorai ārstēšanai</t>
  </si>
  <si>
    <t>Pacientu skaits periodā, kuri stacionēti (bez observācijas)</t>
  </si>
  <si>
    <t>Pacientu skaits periodā, kuriem nodrošināts observācijas pakalpojums, t.sk.</t>
  </si>
  <si>
    <t>Vidējais1 observācijas gultu skaits</t>
  </si>
  <si>
    <t>Kopējais hospitalizācijas2 gadījumu skaits, t.sk.</t>
  </si>
  <si>
    <t>Valsts apmaksāto hospitalizācijas2 gadījumu skaits</t>
  </si>
  <si>
    <t>Plānveida hospitalizācijas2 gadījumu skaits, t.sk.:</t>
  </si>
  <si>
    <t>Valsts apmaksāto plānveida hospitalizācijas2 gadījumu skaits</t>
  </si>
  <si>
    <t>Neatliekamo hospitalizāciju2 gadījumu skaits, t.sk.:</t>
  </si>
  <si>
    <t>Valsts apmaksāto neatliekamo hospitalizācijas2 gadījumu skaits</t>
  </si>
  <si>
    <t>Atkārtoti hospitalizēto pacientu skaits, neieskaitot pacientus, kuriem nākamā hospitalizācija ir aprūpe vai rehabilitācija9</t>
  </si>
  <si>
    <t>Atkārtoti hospitalizēto pacientu skaits, kuriem nākamā hospitalizācija ir aprūpe,  rehabilitācija vai nākamais ārstēšanas posms10</t>
  </si>
  <si>
    <t>Ambultatori izdarīto operāciju skaits11, t.sk.:</t>
  </si>
  <si>
    <t>Izpilde periodā no 2019. gada sākuma līdz 4. ceturkšņa beigām</t>
  </si>
  <si>
    <t>Plāns periodam no 2020. gada sākuma līdz pārskata 4. ceturkšņa beigām</t>
  </si>
  <si>
    <t>Samazinājušies skaidras naudas darījumi (Inkasācija), kā arī samazinājies pieprasījums pēc maksas pakalpojumiem. Atlaides nomniekiem Covid-19 ārkārtas situācijas dēl.</t>
  </si>
  <si>
    <t>Izpilde periodā no 2020. gada sākuma līdz pārskata 4. ceturkšņa beigām</t>
  </si>
  <si>
    <t xml:space="preserve">Slimnīcā tiek uzstādīti LED ekonomiskie apgaismes paneļi. </t>
  </si>
  <si>
    <t>Mainīti plānotie rādītāji atbilstoši prasībai uzskaitīt tikai tajā pašā un nākamajā dienā atkārtoti hospitalizētos pacientus</t>
  </si>
  <si>
    <t>Mainīti 2019.g. rādītāji atbilstoši prasībai uzskaitīt tikai tajā pašā un nākamajā dienā atkārtoti hospitalizētos pacientus, kā arī 2020.g. ir sniegts lielāks subakūtās rehabilitācijas pakalpojumu skaits</t>
  </si>
  <si>
    <t>Palielinātas algas personālam no 01.01.2020. par aptuveni 8%.Savukārt, lai nodrošinātu slimnīcas darbību, laikā kad būtiski palielinājies slimības lapu apjoms, darbinieki pārstrādā virsstundas.Nostrādāto virsstundu apjoms pārējam personālam palielinājies par 52%, salīdzinot ar 2019.gadu.</t>
  </si>
  <si>
    <t>Palielinātas algas personālam no 01.01.2020. par aptuveni 8%.Par risku saistībā ar Covid 19, atsevišķās nodaļās ārstiem tika noteiktas piemaksas 20% un 100% apmērā.</t>
  </si>
  <si>
    <t xml:space="preserve">Palielinātas algas personālam no 01.01.2020. par aptuveni 8%.Lai nodrošinātu slimnīcas darbību darbinieku prombūtnes laikā, darbinieki pārstrādā virsstundas, 2020. gadā virsstundu apjoms pieaudzis par 2%. </t>
  </si>
  <si>
    <t>Palielinātas algas personālam par aptuveni 8%. Valdes algas palielinātas 19.73%.Administrācijā samazinājies darbinieku skaits - slēgta statistikas vadības ārsta vieta un statiskiķa palīga vieta. Apvienojot amatus statistikā vadītājam palielināta alga par 15%, savukārt 2 statistiķa palīga pensionējās, līdz ar to pienākumu uzpildi uzņēmās citi darbinieki. Par darba apjoma palielināšanos algas palielinātas par 36%.Iepriekš valdes vidējais atalgojums tika izdalīts no administrācijas, savukārt šogad valde sun administrācijas vidējos ienākumus atspoguļojam vienā sadaļā, līdz ar to ir nobīde no plāna, jo vidējie ienākumi uz štata vietu tika plānoti atseviški.</t>
  </si>
  <si>
    <t>Darbiniekiem par 2020.gada decembri izmaksātas prēmijas</t>
  </si>
  <si>
    <t>Tika izbeigtas darba tiesiskās attiecības ar vairākiem māsas palīgiem.</t>
  </si>
  <si>
    <t>Tika slēgti veselības un aprūpes dokumentācijas un statistikas vadības ārsta, veselības aprūpes ārsta  un statistiķa palīga amati.</t>
  </si>
  <si>
    <t>Ar vairākiem darbiniekiem tika nodibinātas darba tiesiskās attiecības uz nepilnu slodzi.</t>
  </si>
  <si>
    <t>2020. gada 4. ceturkšņa ieņēmumi, salīdzinot ar 2020. gada attiecīgā perioda plānu ir samazinājušies. Beidzies ir pamatlīdzekļu nolietojums Norvēģijas vadības finanšu projektam LV0026- Aprūpes organizācija.</t>
  </si>
  <si>
    <t>Darbiniekiem 2020.gada decembrī izmaksātas prēmijas par kvalitatīvi veiktu darbu. 1149 - 1150 (Līgumdarbs par izsaukumu/apskati) mainīts EKK</t>
  </si>
  <si>
    <t>Mainīts EKK 1145 uz  1142;1147 uz 1150. Darbiniekiem 2020.gada decembrī izaksātas prēmijas par kvalitatīvi veiktu darbu. Maijā izmaksātas prēmijas vidējam un jaunākajam medicīnas personālam Startautiskajā māsu dienā</t>
  </si>
  <si>
    <t xml:space="preserve"> Darbiniekiem izmaksātas prēmijas decembrī, kas proporcionāli palielina izmaksas par sociālās apdrošināšanas obligātām iemaksām.</t>
  </si>
  <si>
    <t>Plānojot izdevumus tika ņemti vērā iepriekšējā gada izdevumi, salīdzinot ar iepriekšējo periodu darbnespēju lapu A apjoms un slimošanas ilgums palielinājies par 8.62%. Slimošanas ilgums palielinājies par 11.6% salīdzinot ar 2020.gadu.</t>
  </si>
  <si>
    <t>Palielinātas algas persnonālam no 01.01.2020. aptuveni par 8%. Proporcionāli algu pieaugumam palielinājušās darba devēja sociālās iemaksas. Darbiniekiem izmaksātas prēmijas decembrī, kas proporcionāli palielina izmaksas par sociālās apdrošināšanas obligātām iemaksām.</t>
  </si>
  <si>
    <t>2020.gada janvārī - decembrī ir ieguldīti līdzekļi nekustamā īpašuma rekonstrukcijā 980182 eiro ( ERAF  projekta 9.3.2.0/17/I/002 ietvaros - 3.korpusa pārbūves darbi) un 54220 eiro (NVD projekta, līguma Nr. 1936 ietvaros - endoprotezēšanas operāciju zāles izveidošana);  nav paredzēts nodot ekspluatācijā nekustamā īpašuma objektus.</t>
  </si>
  <si>
    <t>2020. gada janvārī - decembrī, ieguldīti līdzekļi  dārgajā medicīniskajā aparatūrā, kā arī dārgajos instrumentos par 69461 euro mazāk kā plānots, saimniecības pamatlīdzekļos par 40488 euro vairāk kā plānots un datortehnikai, sakaru un cita biroja tehnikai par 27080 euro vairāk, kā plānots attiecīgajā periodā.    Pārējām tehnoloģiskajām iekārtām un mašīnām par 36699 euro neizpildīts plāns.</t>
  </si>
  <si>
    <t>Saspiestā gaisa spirāles tipa kompresors ar filtrācijas sistēmu</t>
  </si>
  <si>
    <t>Rigido endoskopu un gaismas vada optiskā testera piegāde</t>
  </si>
  <si>
    <t>Elektrokoagulācijas ģenerators, VIO 200S ar divdaļīgu kājas pedāli</t>
  </si>
  <si>
    <t>Datu loģistikas programmas iegāde - licence ierakstu sistēmai</t>
  </si>
  <si>
    <t>Operāciju galds MEERA 004720001B0</t>
  </si>
  <si>
    <t>Mikroskops - digitālais Nikon Eclipse CI-L</t>
  </si>
  <si>
    <t>Tvaika sterilizātors 40l, HMC 300 MB komplektā ar groziem</t>
  </si>
  <si>
    <t>Stacionārie medicīniskie pakalpojumi</t>
  </si>
  <si>
    <t>Ambulatorie medicīniskie pakalpojumi</t>
  </si>
  <si>
    <t>Nomas pakalpojumim un rezidentu apmācība</t>
  </si>
  <si>
    <t>Slimību profilakses un kontroles centrs</t>
  </si>
  <si>
    <t>Pārējie - 5045 gb</t>
  </si>
  <si>
    <t>Licenču noma</t>
  </si>
  <si>
    <t>Opticom SIA</t>
  </si>
  <si>
    <t>Programmatūras uzturēšana un apkalpošana</t>
  </si>
  <si>
    <t>Softicom SIA</t>
  </si>
  <si>
    <t>Pārējie - 14 gb</t>
  </si>
  <si>
    <t>Wesemann SIA</t>
  </si>
  <si>
    <t>E.Gulbja laboratorija SIA</t>
  </si>
  <si>
    <t>2.4.3.</t>
  </si>
  <si>
    <t>Pārējie - 40 gb</t>
  </si>
  <si>
    <t>Melngaile Alvine</t>
  </si>
  <si>
    <t>Zods Oskars</t>
  </si>
  <si>
    <t>Pārējie - 30 gb</t>
  </si>
  <si>
    <t xml:space="preserve">Nacionālais veselības dienests </t>
  </si>
  <si>
    <t>Ambulatorie pakalpojumi</t>
  </si>
  <si>
    <t>Stacionārie pakalpojumi</t>
  </si>
  <si>
    <t>2020.gada janvārī -decembrī iekšzemes mācību un darba braucieni  - viena rezidenta apmācības kursi, dalība konferencē "Līderības māsa praksē" salīdzinoši ar 2019.gada attiecīgo periodu - diviem darbiniekiem apmācības higiēnas prasībām. 2020.gada janvārī-decembrī ārvalstu mācību un darba braucieni - izdevumi anesteziologu apmācībām Barselonā, ceļa izdevumi uz Lund klīniku, salīdzinoši ar 2019.gada attiecīgo periodu - izdevumi dalībai EFORT kongresā, trīs medicīnas personālam dalības maksa ESA kongresā Vīnē un 8 darbiniekiem dalības maksa Baltijas reģionāla anestēzijas konferencē.</t>
  </si>
  <si>
    <t>2020.gada janvāra - decembra mēnešos bijām plānojuši sekojošiem pakalpojumiem lielāku naudas plūsmu - apkurei, elektroenerģijai, teritorijas uzturēšanai, uzkopšanai - bija silts ziemas periods.</t>
  </si>
  <si>
    <t>2020.gada janvārī-decembrī esam krājumus vairāk iepirkuši kā plānojām - neprecīzs plāns.</t>
  </si>
  <si>
    <t>2020.gada janvārī - decembrī naudas plūsma  krājumiem ir palielināta, salīdzinoši ar 2019.gada attiecīgo periodu sekojošām pozīcijām: spectērpiem (jakas, bikses, apavi, halāti, kombinezoni, palagi, segas, pārklāji u.c.) par 40481 eiro vairāk, inventārs ( dušas krēsli - 18 gb, telefoni un austiņas  nodaļās - 26 gb, žalūzijas - 26 gb, ) par 28411 eiro vairāk - 2020.gadā  naudas plūsmā no GP Nord -  14162 eiro  (piegādā maskas, respiratorus), sadzīves inventāram (cimdi, dvieļi, tualetes, papīrs, atkritumu maisi) par 5167 eiro vairāk.  Naudas plūsma samazinājusies sekojošām pozīcijām, salīdzinoši ar 2019.gada attiecīgo periodu: ēdināšanas izdevumiem par 32 672 eiro.</t>
  </si>
  <si>
    <t>2020.gada janvārī-decembrī plāns ir neprecīzs.</t>
  </si>
  <si>
    <t>2020.gada janvārī - decembrī ir ieguldīti līdzekļi nekustamā īpašuma rekonstrukcijā 1034402 eiro, no kuriem 980182 eiro- ERAF  projekta 9.3.2.0/17/I/002 ietvaros - 3.korpusa pārbūves darbi un 54220 eiro -NVD projekta, līguma Nr. 1936 ietvaros - endoprotezēšanas operāciju zāles izveidošana.</t>
  </si>
  <si>
    <t>2020.gada janvārā- decembra plāns nodokļu un nodevu maksājumiem - pievienotās vērtības nodoklim plāns neprecīzs.</t>
  </si>
  <si>
    <t xml:space="preserve">2020.gada janvāra - decembra naudas plūsmā lielāki pārskaitījumki veikti pievienotās vērtības nodoklim par -187113 eiro, dabas resursu nodoklim lielāki par - 2371 eiro, uzņemējdarbības riska nodevai lielāki par - 121 eiro un , salīdzinājumā ar 2019.gada attiecīgo periodu. </t>
  </si>
  <si>
    <t xml:space="preserve">2020.gada janvārī - decembrī ERAF finansējums ir salīdzinoši lielāks kā 2019.gadā. 2020.gadā 432104 eiro no Centrālās finanšu un līgumu aģentūras projekta 9.3.2.0/17/I/002 ietvaros 3. korpusa pārbūves darbiem- LAGRON SIA  par būvdarbiem objektā tika samaksāts 970251 eiro, no kuriem 500000 eiro Slimnīcas līdzfinansējums. </t>
  </si>
  <si>
    <t>2020.gada janvārī - decembrī naudas līdzekļu atlikums uz gada beigām ir salīdzinoši mazāks kā 2019. gada beigām - uz 31.12.2019. Nacionālais veselības dienests samaksāja NVD projektu ietvaros 1140315 eiro.</t>
  </si>
  <si>
    <t>2020.gada janvārī - decembrī plāns neprecīzs pārējiem izdevumiem - norakstīto pamatlīdzekļu atlikušajai vērtībai un naudas balvām, uzkrājumiem neizmantotiem atvaļinājumiem un šaubīgiem debitoriem.</t>
  </si>
  <si>
    <t>2020. gada janvārī- decembrī neizmantoto atvaļinājumu izdevumi ir samazinājušies  par 16005 eiro salīdzinoši art 2019. gadu. 2020.gada janvārī - decembrī  pamatlīdzekļu likvidācijā ir norakstīta to atlikusī vērtība par 5976 eiro vairāk kā 2019.gada attiecīgajā periodā. 2020.gada attiecīgajā perodā naudas balvās un apbedīšanas pabalstos ir par 159 eiro vairāk izmaksās , kā 2019.gada attiecīgajā periodā.</t>
  </si>
  <si>
    <t>2020. gada janvārī - decembrī  plāns iekšzemes apmācībām ir saskaņā ar 2019.gada attiecīgā perioda izpildi.</t>
  </si>
  <si>
    <t>2020. gada janvārī - decembrī  ir bijuši izdevumi 1 rezidenta  apmācībām kursos, māsu dalība konferencē - Līderība māsu praksē,   salīdzinoši ar 2019.gada attiecīgo periodu -  diviem darbiniekiem apmācības  higiēnas prasībām.</t>
  </si>
  <si>
    <t>2020.gada janvāra - decembrī plāns komunālajiem pakalpojumiem nav izpildīts apkurei par 27795 eiro, elektroenerģijai par 12040 eiro - silta bija sezona.</t>
  </si>
  <si>
    <t>2020. gada janvāra- decembra plāns informāciju tehnoloģiskajiem pakalpojumiem ir pārsniegts : iekārtu uzturēšanai, informāciju tehnoloģiju nomai, kasešu uzpildīšanai un sakaru tehnoloģiju uzturēšanai.</t>
  </si>
  <si>
    <t>2020.gada janvāra - decembra plāns juridiskajiem pakalpojumiem neprecīzs  - sertificēta datu aizsardzības speciālista pakalpojumi (Oskars Leons, RAdošo tehnoloģiju centrts SIA)</t>
  </si>
  <si>
    <t>2020.gada janvāra-decembra plāns ir saskaņā ar 2019. gada attiecīgā perioda izpildi.</t>
  </si>
  <si>
    <t>2020.gada janvārī - decembrī plāns ir saskaņā ar 2019.gada attiecīgā perioda izpildi.</t>
  </si>
  <si>
    <t>2020.gada janvāra - decembra plāns ir saskaņā ar 2019.gada attiecīgā perioda izpildi.</t>
  </si>
  <si>
    <t>2020.gada janvārī-decembrī pašu spēkiem veiktie ārkārtas remonti izmaksās ir palielinājušies par 1082 eiro , salīdzinoši ar 2019. gada attiecīgo periodu.</t>
  </si>
  <si>
    <t>2020.gada janvāra-decembrī plāns ir saskaņā ar 2019.gada attiecīgā perioda izpildi.</t>
  </si>
  <si>
    <t>2020.gada janvāra-decembra plāns nav izpildīts procentu ieņēmumos un pārvērtēšanas rezervju ieņēmumi nebija ieplānoti.</t>
  </si>
  <si>
    <t>2020.gadā  plānotie izdevumi - košumstādi, puķes grāmatoti uz EKK 2239  - Pārējie iestādes administratīvie izdevumi.</t>
  </si>
  <si>
    <t>2020.gada janvārī - decembrī no Jāņa Aldermaņa dārzniecība SIA iegādāti teritorijas apzaļumošanai  stādi 330 eiro, salīdzinoši ar 2019. gadu 200 eiro.</t>
  </si>
  <si>
    <t>2020.gada janvāri-decembrī samazinājušies izdevumi Pievienotā vērtības nodokļa izdevumos, kas ir mainīgā daļa, jo esam  PVN proporciju maksātāji, t.i. neatskaitāmais priekšnodoklis ir tieši atkarīgs no medicīnisko pakalpojumu proporcijas  pret kopējiem darījumiem, sekojoši šis procents tiek pielietots aprēķinot neatskaitāmo priekšnodokli, kurš palielina izdevumus. 2020. gada janvārī - decembrī ir iepirkts mazāk preču, pakalpojumu, attiecīgi PVN maksājumi mazāki, kā 2019. gada attiecīgajā periodā. Dabas resursu nodoklis 2020. gada janvārī - decembrī ir palielinājies, jo ir palielinājusies  oklekļa dioksīda pielietojamā lime no 4.50 eiro un  9.00 eiro, salīdzinoši ar 2019. gada attiecīgo periodu, uzņēmējdarbības riska nodeva 2020.gada janvārī - decembrī ir lielāka, kā 2019.gada attiecīgajā periodā - darbinieku mainība.</t>
  </si>
  <si>
    <t>2020.gada janvārī-decembrī ir bijuši izdevumi anesteziologu apmācībām Barselonā, ceļa izdevumi uz Lund klīniku, dalības maksa kongresam Austrijā - 295 eiro.2019.gada attiecīgajā periodā - izdevumi valdes locekļa dalībai EFORT kongresā - 3 dienas, 3 medicīnas personālam dalības maksa ESA kongresā Vīne un 8 darbniniekiem dalības maksa Baltijas reģionālās Anestēzijas asociācijas konferencē, dalība izstādē MEDICA&amp;COMPAMED 2019, Informācijas speciālista apmeklējums izstādiei Diseldorfā</t>
  </si>
  <si>
    <t xml:space="preserve">2020.gada janvārī -decembrī izdevumi ir samazinājušies, gan siltumenerģijai, gan elektroenerģija, jo bija labvēlīgi apstākļi siltai ziemai.  Ūdensapgāde attiecīgajā periodā ir palielinājusies, jo no 2020.gada augusta ir palielināti tarifi kanalizācijas pakalpojumiem no 0.68 eiro uz 0.74 eiropar m3 un ūdensapgādes pakalpojumiem no 0.80 eiro uz 0.85 eiro par m3. Ūdens tiek izmantots arī kapitālremontiem, kas notiek Slimnīcā. </t>
  </si>
  <si>
    <t>2020.gada janvārī-decembrī  procentu ieņēmumos ir parādnieku smaksātie procenti, salīdzinoši ar 2019.gada attiecīgo periodu, kur soda naudas bija iekasētas par teritorijas nekvalitatīvu uzkopšanu. Ieņēmumos ir pārvērtšanas rezervju samazinājums gan 2020. gadā, gan 2019.gadā.</t>
  </si>
  <si>
    <t>2020.gada janvārī-decembrī asins komponenti no Valsts Asinsdonora centra izlietoti mazāk, kā 2019.gada attiecīgajā periodā, atkarīgs no ārstējamo pacientu sarežģītības pakāpes, operāciju skaita.</t>
  </si>
  <si>
    <t>2020.gada janvārī-decembrī mazāk ir bijuši izdevumi pacientu pārvadāšanai, kā 2019.gada attiecīgajā periodā.</t>
  </si>
  <si>
    <t xml:space="preserve">2020.gada janvārī-decembrī  programmatūru uzturēšanai, salīdzinoši ar 2019.gada attiecīgo periodu lielāki izdevumi. 2020.gada attiecīgajā periodā   pamatpaka personāla un darba samaksas uzturēšanai izmaksas 6687 eiro, personāla procesa izpēte, konfigurācija, klasifikatoru kārtošana izmaksas 9869 eiro; attālinātās konsultācijas  šīs pamatpakas ieviešanai; par disku masīva NetApp pēcgarantijas uzturēšanu,licence -viena paka ar vairākiem produktiem -ugunssienai, e-pasta filtram, darbstaciju drošības klientiem, pārvaldība serverim izdevumi 5507 eiro, kā 2019.gada attiecīgajā periodā; </t>
  </si>
  <si>
    <t>2020.gada janvārī-decembrī noma iekārtām ir palielinājusies: AVESCO SIA - dīzeļģeneratora noma 21000 eiro,salīdzinoši ar 2019.gada attiecīgo periodu iekārta uzstādīta septembrī. Pārējā noma 2020.gada janvārī - decembrī ir ūdens iekārtu  VENDEN SIA noma 312 eiro. No 01.04.2019. ūdens iekārtas nomainītas un pārslēgts līgums, kurā cenas par iekārtu īri ir lielākas.</t>
  </si>
  <si>
    <t xml:space="preserve">2020.gada janvārī-decembrī  komisijas maksa par pabeigtām lietām parādu piedziņas kompānijai izdevumi mazāki kā 2019.gada attiecīgajā periodā. </t>
  </si>
  <si>
    <t>2020.gada janvāra - decembra mēnešos esam  iegādājušies inventāru -26 gb  telefona aparātus, 18 gb  dušas krēslus, 16 gb žalūzijas un pretinsektu tīklus, 4 biroja krēslus , 48 krēslus, uzkopšanas rati, lampu medicīniskajām nodaļām, barošanas galdiņi - 13 gb, krēsli, taburetes - 14 gb summā 10298 eiro,no virtuves inventāra 2020.gadā ir iegādāti vienreizlietojamie trauki 98 eiro, ēdināšanas izdevumi ir samazinājušies ar 2019. gada attiecīgo periodu - 2020. gada janvārī -decembrī pacientu porcijas  42009 gb, 2019. gada janvārī - decembrī pacientu porcijas 52149 gb.</t>
  </si>
  <si>
    <t>2020.gada janvārī- decembrī  - sertificēta datu aizsardzības speciālista pakalpojumu izdevumi ir mazāki par 415 eiro, salīdzinoši ar 2019.gada attiecīgo periodu. No 2020.gada augusta par datu aizsardzību noslēgts līgums ar mikrouzņēmumu O. Leons.</t>
  </si>
  <si>
    <t>2020.gada janvāra-decembra periodā nedrošajiem debitoru parādiem - atgūtie parādi bija mazāk par 758 eiro, salīdzinoši ar 2019.gada attiecīgā perioda ieņēmumiem. 2020.gada janvārī - decembrī piegādātāji ( Artropulss SIA - rokasmotora iegādei,  DIGITEKS SIA - žņaugu sistēmai) ir devuši labu atlaidi pamatlīdzekļu iegādei.</t>
  </si>
  <si>
    <t>2020. gada janvārī - decembrī, salīdzinoši ar 2019.gada attiecīgo periodu mazāki izdevumi ēku remontdarbiem par 28471 eiro kontrolšahtas avārijas remontdarbi - ALPEX SIA 2944 eiro, DETLEFFI SIA pretslīdes joslu krāsošana 3135 eiro, daļēja garāžu jumta seguma nomaiņa , siltumtrases remonts, liftu remonts un nekustamā īpašuma uzturēšanai lielāki izdevumi  par 7714 eiro- 2020.gada janvārī - decembrī veikts asfalta klājuma atjaunošana summā 8389 eiro, salīdzinoši ar 2019.gada attiecīgo periodu. 2020.gada oktobrī tika veikti (V SERVICE, SIA) teritorijas sakārtošanas darbi summā 18717 eiro.</t>
  </si>
  <si>
    <t>2020.gada janvārī-decembrī peļņas plāns neprecīzs.</t>
  </si>
  <si>
    <t>2020.gada janvārī - decembrī  ir pieauguši ieņēmumu un izdevumu posteņi (ieņēmumi 2020.gada attiecīgajā periodā palielinājušies par 305978 eiro,bet izdevumi palielinājušie  par 347479 eiro, salīdzinoši ar 2019.gada janvāri-decembri.</t>
  </si>
  <si>
    <t>Uzkrājumu plāns 2020.gadam neprecīzs, sastādīts pamatojoties uz 2019.gada izpildi.</t>
  </si>
  <si>
    <t>2020. gada janvāra - decembra  plāns ir neprecīzs - plāns parādiem piegādātājiem, nodokļiem un saņemtiem avansiem no fiziskām personām un pārējiem kreditoriem.</t>
  </si>
  <si>
    <t>2020.gada plāns  licencēm neprecīzs, tika iegādāta licence telefonijas ierakstu sistēmai.</t>
  </si>
  <si>
    <t>2020.gada janvārī - decembrī nemateriālie ieguldījumi bilancē ir samazinājušies ar attiecīgo periodu 2019. gadā, jo licences u.c. nemateriālie ieguldījumi tiek nomāti.</t>
  </si>
  <si>
    <t>2020.gadā pamatlīdzekļu celtniecībai ir neprecīzs plāns - uz gada beigām ir aktīvi 2 lieli projekti: ERAF projekta ietvaros 3.korpusa ēkas atjaunošana un pārbūves darbi  summā 1351833 eiro un Nacionālā veselības dienesta projekta ietvaros jaunas endoprotezēšanas operāciju zāles izveide summā 136407 eiro.</t>
  </si>
  <si>
    <t>2020.gada janvārī - decembrī  palielinājušies ilgtermiņa ieguldījumi, salīdzinoši ar 2019.gada attiecīgo periodu - aktīvi tiek ieguldīti līdzekļi ERAF projektā nepabeigtā celtniecība.</t>
  </si>
  <si>
    <t>2020.gada janvārī - decembrī plāns neprecīzs.</t>
  </si>
  <si>
    <t>2020.gada janvārī - decembrī  ir pieaugums krājumi izejvielām, pamatmateriāliem un materiāliem (medikamentiem palielinājums par 45772 eiro, medicīnas precēm par 6496 eiro, endoprotēzēm par 18244 eiro, medicīnas palīgmateriāliem par 107823 eiro, mugurkaula implantiem par 13022 eiro), veļai par 806 eiro , kā arī ir palielināti avansa maksājumi par precēm.</t>
  </si>
  <si>
    <t>2020.gada plāns janvārim - decembrim neprecīzs.</t>
  </si>
  <si>
    <t>2020.gada janvāra - decembra  naudas atlikums ir salīdzinoši mazāks par 2019.gada attiecīgo periodu, jo 2019. gada beigās tika saņemts finansējums Nacionālā veselības dienesta  projektiem - 1154403 eiro.</t>
  </si>
  <si>
    <t>2020.gada janvāra - decembra plāns administrācijas izmaksām neprecīzs.</t>
  </si>
  <si>
    <t>2020.gada janvārī-decembrī administrācijas izmaksās palielinājums ar 2019. gada attiecīgo periodu ir darba algā par 125838 eiro un darba devēja sociālajam nodoklim par 30598 eiro sakaru izdevumiem (telefonu sakari - īsziņu sūtīšana pacientiem) palielinājums par 4559 eiro un prezentācijas izdevumiem (sabiedrisko attiecību publicitātes nodrošināšanai) par 2948 eiro.</t>
  </si>
  <si>
    <t>2020.gada janvārī - decembrī esam pārpildījuši plānu pārējiem saimnieciskās darbības ieņēmumiem.</t>
  </si>
  <si>
    <t>2020.gada janvārī-decembrī salīdzinoši ar 2019.gada attiecīgo periodu ir samazinājušies pārējie saimnieciskās darbības ieņēmumi pa sekojošām lielākajām pozīcijām: ieņēmumi par nomas maksu par 32630 eiro, investīciju ieņēmumi par 7681 eiro, caurlaidei ieņēmumi par 5620 eiro un citiem ieņēmumiem (pamatlīdzekļu iegādei no piegādātājiem sniegta atlaide) par 9465 eiro.</t>
  </si>
  <si>
    <t>2020.gada janvārī-decembrī pārējās izmaksas plāns nav izpildīts.</t>
  </si>
  <si>
    <t>2020.gada janvārī-decembrī palielinājušas izmaksas sekojošās pozīcijās: apsardzes pakalpojumiem par 7387 eiro, telpu uzturēšanas pakalpojumiem par 26734 eiro, nomas pakalpojumiem par 13440 eiro, programmatūru uzturēšanas pakalpojumiem par 11427 eiro. Pamatlīdzekļu nolietojums izmaksās tiks precizēts ar pamatlīdzekļu nolietojumu administrācijai.</t>
  </si>
  <si>
    <t>2020.gada janvārī - decembrī nav izpildīts plāns procentu ieņēmumos.</t>
  </si>
  <si>
    <t>2020.gada janvārī- decembrī procentu ieņēmumos ir parādnieku samaksātie procenti 28 eiro apmērā, salīdzinoši ar 2019.gada attiecīgo periodu, kur soda naudas bija iekasētas par teritorijas nekvalitatīvu uzkopšanu.</t>
  </si>
  <si>
    <t>2020.gada janvāra-decembra mēnešos plāns procentu maksājumiem ir neprecīzs.</t>
  </si>
  <si>
    <t>2020.gada janvārī -decembrī nav maksātas soda naudas  - nokavējuma naudas, salīdzinoši ar 2019.gada attiecvīgo periodu.</t>
  </si>
  <si>
    <r>
      <t>Budžeta pozīcijas</t>
    </r>
    <r>
      <rPr>
        <vertAlign val="superscript"/>
        <sz val="12"/>
        <rFont val="Times New Roman"/>
        <family val="1"/>
      </rPr>
      <t>1</t>
    </r>
  </si>
  <si>
    <r>
      <t>Skaidrojumi</t>
    </r>
    <r>
      <rPr>
        <vertAlign val="superscript"/>
        <sz val="12"/>
        <rFont val="Times New Roman"/>
        <family val="1"/>
      </rPr>
      <t>2</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</si>
  <si>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1031 Noteikumi par budžetu izdevumu klasifikāciju atbilstoši ekonomiskajām kategorijām" un jāpiemēro šo MK noteikumu skaidrojumi atbilstošiem EKK</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</si>
  <si>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kā arī par to izmaiņām, salīdzinot ar </t>
    </r>
    <r>
      <rPr>
        <i/>
        <sz val="12"/>
        <rFont val="Times New Roman"/>
        <family val="1"/>
      </rPr>
      <t>n-1</t>
    </r>
    <r>
      <rPr>
        <sz val="12"/>
        <rFont val="Times New Roman"/>
        <family val="1"/>
      </rPr>
      <t xml:space="preserve"> gada attiecīgo periodu, gadījumos, ja novirze faktisko budžeta ieņēmumu un izdevumu pozīcijās ir virs 5%.</t>
    </r>
  </si>
  <si>
    <t xml:space="preserve">2020. gada martā tika noslēgti jauni sadarbības līgumi ar Latvijas universitāti un Rīgas stradiņu universitāti, kas paredz viena rezidenta finansējumu 1983.37 eur (pirmais, otrais kurss) un 2166.26 eur pārējo kursu studentiem, līdzšinējo 1709.42 eur vietā. </t>
  </si>
  <si>
    <t>Maksas pakalpojumi 2020. gada 12 mēnešos Covid 19 ietekmē tika sniegti mazāk kā tika plānoti.</t>
  </si>
  <si>
    <t>Plāns apmācībām ārvalstīs ir neizpildīts Covid 19 ierobežojumu dēļ</t>
  </si>
  <si>
    <t>Izdevumi par degvielu ir bijuši mazāki, kā iepriekš plānots</t>
  </si>
  <si>
    <t>Izpilde atkarīga no pacientu sarežģītības pakāpes</t>
  </si>
  <si>
    <t>2020.gada janvāra-decembra plāns pamatlīdzekļu nolietojumam neprecīzs (ne vienmēr precīzi prognozējams)</t>
  </si>
  <si>
    <t>pieaudzis valsts piešķirtais finansējums</t>
  </si>
  <si>
    <t>Covid 19 ierobežojumu dēļ</t>
  </si>
  <si>
    <t>mazāks pacientu skaits Covid 19 ierobežojumu dēļ</t>
  </si>
  <si>
    <t>2020. gada janvārī - decembrī  asins preparātu piegādei (Rīgas Taksometru parks , SIA)izlietoti summā 44 eiro, salīdzinoši ar 2019.gadu  138 eiro, izsaukums pacientu transportēšanai (Neatliekamās medicīniskās palīdzības diensts) izlietoti summā 2403 eiro, salīdzinoši ar 2019. gadu  343 eiro.2020. gadā izdevumi  transporta pakalpojumiem bija pētījuma projekta ietvaros summā 10557 eiro, salīdzinoši ar 2019. gadu izdevumi summā 2581 eiro.</t>
  </si>
  <si>
    <t>Neizmantoto atvaļinājumu dienu skaits salīdzinot ar iepriekšējo gadu samazinājies par 35,9%.</t>
  </si>
  <si>
    <t xml:space="preserve">2020.gada plāns dabas resursu nodokļa maksājumiem neprecīzs. 2020.gadā ir cēlusies likme aprēķinot vides piesārņošanu uzņēmumā.  </t>
  </si>
  <si>
    <t>2020.gada janvāra - decembrī plāns neizpildīts ēdināšanas izdevumos, kā arī virtuves inventāra iegādē - bija mazāks pacientu daudzums.</t>
  </si>
  <si>
    <t>Sakarā ar epidemiloloģisko situāciju, samazinās pacientu plūsma un arī nepiecīešamība pēc ārstniecības līdzekļiem.</t>
  </si>
  <si>
    <t>2020.gada janvārī - decembrī medicīnas instrumenti - šķēres, brūču turētāji, spailes, adatturi, kuagulācijas naži, rīmera galviņa u.c. no Centralizētās sterilizācijas  un sterilo materiālu apgādes nodaļas izmaksās ir 17716 eiro, salīdzinoši ar 2019. gada attiecīgo periodu 14593 eiro.</t>
  </si>
  <si>
    <t>2020.gadā,  sakarā ar epidemiloloģisko situāciju, samazinās pacientu plūsma un arī nepiecīešamība pēc ārstniecības līdzekļiem.</t>
  </si>
  <si>
    <t>2020. gadā medicīnas palīgmateriālu - sterilu un nesterilu cimdu, filtru vienreizējo, sterilu konteineru, vienreizēju virsvalku, sūklīšu, mikroskopu pārvalku, reaktīvu izmaksās 32566 eiro, salīdzinoši ar 2019. gada attiecīgo periodu - 35521 eiro.</t>
  </si>
  <si>
    <t>2020. gada janvārī - decembrī medicīnas palīgmateriālu izmaksās 32566 eiro, salīdzinoši ar 2019. gada attiecīgo periodu - 35521 eiro.</t>
  </si>
  <si>
    <t>2020.gada janvāri - decembrī par iekārtu un aparatūras īri un nomu plānots kā 2019.gada attiecīgā perioda izpilde. 2020. gadā medicīnas skābekļa tvertnes, balonu noma (Linde Gas AS) - izmaksās 7103 eiro, ultrasonogrāfijas noma ( Arbor Medical Korporācija SIA) izmaksās 11944 eiro, dīzeļģeneratora noma (Avesco SIA) izmaksās 21000 eiro, higiēnas preču, paklāju noma (ELIS Tekstila serviss SIA) izmaksās 3177 eiro.</t>
  </si>
  <si>
    <t>2020.gada janvārī - decembrī  apmācības izdevumiem medicīnas personālam bija lielāki par 1541 eiro, salīdzinoši ar 2019. gada attiecīgo periodu, apmācības izdevumi pārējam personālam 2020. gadā bija 785 eiro mazāki, kā 2019.gada attiecīgajā periodā.</t>
  </si>
  <si>
    <t>2020.gada janvāra - decembra plāns sastādīts, pamatojoties uz 2019. gada izpildi.</t>
  </si>
  <si>
    <t>2020.gadā inkasācijas pakalpojumiem  481 eiro, salīdzinoši ar 2019.gada attiecīgo periodu 817 eiro, komisijas maksas Swedbankā 2020.gadā 789 eiro, salīdzinoši ar 2019. gada attiecīgo periodu 666 eiro, komisijas maksas Citadeles bankā 2020. gadā 4057 eiro,salīdzinoši ar 2019. gadu 5611 eiro.</t>
  </si>
  <si>
    <t>2020.gada plāns neprecīzs. 2019. gadā ekonomiskie  klasifikācijas kodi mainījās no 2279 uz 2239 veļas mazgāšanai, pāējiem medicīnas pakalpojumiem, apsardzes pakalpojumiem.</t>
  </si>
  <si>
    <t>2020. gada janvārī - decembrī veļas mazgāšanas izdevumos 73232 eiro, salīdzinoši ar 2019. gadu summā 79234 eiro, pārējiem medicīnas pakalpojumiem 2020. gada izdevumos 200715 eiro, salīdzinoši ar 2019. gadu - 223145 eiro, apsardzes pakalpojumiem 2020.gadā izdevumos 53572 eiro, salīdzinoši ar 2019. gadu 46504 eiro, citos vadīšanas administrācijas izdevumos 2020. gadā 30832 eiro, salīdzinoši ar 2019. gadu 27437 eiro, prezentācijas izdevumos 2020. gadā 5235 eiro, salīdzinoši ar 2019. gadu - 2113 eiro.</t>
  </si>
  <si>
    <t>2020. gadā  tika organizēta Neatliekamās palīdzības transportēšana ar palīdzības ārsta palīgu brigādi pētījuma projekta ietvaros  (Veselības centrs -4, SIA), kas izdevumos 2020. gadā bija 10557 eiro.</t>
  </si>
  <si>
    <t>2020.gada plāns neprecīzs. 2020. gadā medicīonas personāla apmācībās (Radiācijas drošība un kvalitāte, Mākslīgi ventilējams pacients, programmā Sirds ritma traucējumi ) izdevumi 4667 eiro, pārējā personāla apmācībās (Dokumentēšanas aktualitātes, Publiskie iepirkumi būvniecības jomā, Elektroniskie dokumenti un paraksti, Pielietojamā improvizācija personāla atlasē, Psihotropo vielu apriti regulējošie akti) izdevumi summā 285 eiro.</t>
  </si>
  <si>
    <t>2020.gada janvāra-decembra periodā izmaksas dažādām biroja precēm (saimniecības un kanceleju precēm palielinājās par 698 eiro un veidlapām samazinājās par 1232 eiro), inventāram (tualetes papīrs, atkritumu maisi, mazgāšanas līdzekļi, gaisa atsvaidzinātāji, birstes u.c. samazinājums par 2174 eiro), darba aizsardzības līdzekļiem  (individuālie apģērbi - jakas, halāti, sejas maskām (kokvilnas) palielinājušies izdevumi par 40539 eiro, salīdzinājumā ar 2019.gada attiecīgo periodu.</t>
  </si>
  <si>
    <t xml:space="preserve">2020. gadam plāns remontdarbu uzturēšanas pakalpojumiem nav izpildīts plānotajā apjomā. Neparedzētu apstākļu dēļ netika veikti remontdarbi  sekojošās struktūrvienībās:  Mikrobioloģijas, Arhīva telpu remontdarbi un jumta logu nomaiņa,
Administrācijas kāpņu un kāpņu laukuma kosmētiskais remonts , logu nomaiņa,
Aptiekas un noliktavas telpu remontdarbi
Patohistoloģijas laboratorijas telpu un Administrācijas kabineta remontdarbi </t>
  </si>
  <si>
    <t>2020.gadā pārgājām uz jaunu  sterilizācijas un dezinfekcijas līdzekļu iegādes metodi, kas ir atbilstoša Eiropas Savienības prasībām.</t>
  </si>
  <si>
    <t>Covid 19 ierobežojumu dēļ, mazāks pacientu skaits, mazāk tika veiktas endoprotezēšanas operācijas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</si>
</sst>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0"/>
    <numFmt numFmtId="169" formatCode="#,##0\ _€"/>
  </numFmts>
  <fonts count="76"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u/>
      <sz val="14"/>
      <name val="Times New Roman"/>
      <family val="1"/>
    </font>
    <font>
      <b/>
      <sz val="14"/>
      <name val="Times New Roman"/>
      <family val="1"/>
      <charset val="186"/>
    </font>
    <font>
      <sz val="14"/>
      <name val="Times New Roman"/>
      <family val="1"/>
      <charset val="186"/>
    </font>
    <font>
      <b/>
      <sz val="14"/>
      <color theme="1"/>
      <name val="Times New Roman"/>
      <family val="1"/>
    </font>
    <font>
      <vertAlign val="superscript"/>
      <sz val="14"/>
      <name val="Times New Roman"/>
      <family val="1"/>
    </font>
    <font>
      <b/>
      <vertAlign val="superscript"/>
      <sz val="14"/>
      <name val="Times New Roman"/>
      <family val="1"/>
    </font>
    <font>
      <b/>
      <sz val="14"/>
      <color rgb="FF414142"/>
      <name val="Times New Roman"/>
      <family val="1"/>
    </font>
    <font>
      <b/>
      <sz val="12"/>
      <name val="Times New Roman"/>
      <family val="1"/>
    </font>
    <font>
      <sz val="12"/>
      <name val="Times New Roman"/>
      <family val="1"/>
    </font>
    <font>
      <sz val="8"/>
      <name val="Arial"/>
      <family val="2"/>
      <charset val="186"/>
    </font>
    <font>
      <sz val="14"/>
      <color theme="1"/>
      <name val="Times New Roman"/>
      <family val="1"/>
    </font>
    <font>
      <i/>
      <sz val="14"/>
      <name val="Times New Roman"/>
      <family val="1"/>
      <charset val="186"/>
    </font>
    <font>
      <b/>
      <sz val="10"/>
      <name val="Times New Roman"/>
      <family val="1"/>
    </font>
    <font>
      <sz val="10"/>
      <name val="Times New Roman"/>
      <family val="1"/>
    </font>
    <font>
      <sz val="10"/>
      <color indexed="8"/>
      <name val="Times New Roman"/>
      <family val="1"/>
    </font>
    <font>
      <b/>
      <sz val="10"/>
      <color indexed="8"/>
      <name val="Times New Roman"/>
      <family val="1"/>
    </font>
    <font>
      <sz val="10"/>
      <name val="Times New Roman"/>
      <family val="1"/>
      <charset val="186"/>
    </font>
    <font>
      <vertAlign val="superscript"/>
      <sz val="10"/>
      <name val="Times New Roman"/>
      <family val="1"/>
    </font>
    <font>
      <i/>
      <sz val="10"/>
      <name val="Times New Roman"/>
      <family val="1"/>
    </font>
    <font>
      <sz val="14"/>
      <color rgb="FF000000"/>
      <name val="Times New Roman"/>
      <family val="1"/>
      <charset val="186"/>
    </font>
    <font>
      <i/>
      <sz val="12"/>
      <name val="Times New Roman"/>
      <family val="1"/>
    </font>
    <font>
      <i/>
      <sz val="12"/>
      <name val="Times New Roman"/>
      <family val="1"/>
      <charset val="186"/>
    </font>
    <font>
      <vertAlign val="superscript"/>
      <sz val="12"/>
      <name val="Times New Roman"/>
      <family val="1"/>
    </font>
    <font>
      <b/>
      <sz val="10"/>
      <color rgb="FFFF0000"/>
      <name val="Times New Roman"/>
      <family val="1"/>
    </font>
    <font>
      <sz val="10"/>
      <color rgb="FFFF0000"/>
      <name val="Times New Roman"/>
      <family val="1"/>
    </font>
    <font>
      <sz val="12"/>
      <color rgb="FFFF0000"/>
      <name val="Times New Roman"/>
      <family val="1"/>
    </font>
    <font>
      <sz val="14"/>
      <color rgb="FFFF0000"/>
      <name val="Times New Roman"/>
      <family val="1"/>
    </font>
    <font>
      <b/>
      <sz val="12"/>
      <color rgb="FFFF0000"/>
      <name val="Times New Roman"/>
      <family val="1"/>
    </font>
    <font>
      <b/>
      <i/>
      <sz val="12"/>
      <name val="Times New Roman"/>
      <family val="1"/>
    </font>
    <font>
      <b/>
      <sz val="12"/>
      <color indexed="9"/>
      <name val="Times New Roman"/>
      <family val="1"/>
    </font>
    <font>
      <b/>
      <u/>
      <sz val="12"/>
      <name val="Times New Roman"/>
      <family val="1"/>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indexed="64"/>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diagonal/>
    </border>
    <border>
      <left style="thin">
        <color rgb="FF414142"/>
      </left>
      <right/>
      <top style="thin">
        <color rgb="FF414142"/>
      </top>
      <bottom style="thin">
        <color rgb="FF414142"/>
      </bottom>
      <diagonal/>
    </border>
    <border>
      <left style="thin">
        <color rgb="FF414142"/>
      </left>
      <right style="thin">
        <color rgb="FF414142"/>
      </right>
      <top/>
      <bottom style="thin">
        <color rgb="FF414142"/>
      </bottom>
      <diagonal/>
    </border>
  </borders>
  <cellStyleXfs count="1468">
    <xf numFmtId="0" fontId="0" fillId="0" borderId="0"/>
    <xf numFmtId="0" fontId="7" fillId="0" borderId="0"/>
    <xf numFmtId="0" fontId="7" fillId="0" borderId="0"/>
    <xf numFmtId="0" fontId="6" fillId="0" borderId="0"/>
    <xf numFmtId="0" fontId="5" fillId="0" borderId="0"/>
    <xf numFmtId="0" fontId="7" fillId="0" borderId="0"/>
    <xf numFmtId="0" fontId="7" fillId="0" borderId="0"/>
    <xf numFmtId="0" fontId="4" fillId="0" borderId="0"/>
    <xf numFmtId="0" fontId="3" fillId="0" borderId="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28"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1"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1"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18"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1"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1"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4" fillId="17" borderId="14"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0" fontId="15" fillId="31" borderId="15" applyNumberFormat="0" applyAlignment="0" applyProtection="0"/>
    <xf numFmtId="41" fontId="7" fillId="0" borderId="0" applyFont="0" applyFill="0" applyBorder="0" applyAlignment="0" applyProtection="0"/>
    <xf numFmtId="165" fontId="1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18" fillId="0" borderId="16"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19" fillId="0" borderId="18"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20" fillId="0" borderId="20"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21"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1" borderId="14" applyNumberFormat="0" applyAlignment="0" applyProtection="0"/>
    <xf numFmtId="0" fontId="21" fillId="11"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1" fillId="17" borderId="14" applyNumberFormat="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11"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0" fillId="0" borderId="0"/>
    <xf numFmtId="0" fontId="2" fillId="0" borderId="0"/>
    <xf numFmtId="0" fontId="11" fillId="0" borderId="0"/>
    <xf numFmtId="0" fontId="11" fillId="0" borderId="0"/>
    <xf numFmtId="0" fontId="11" fillId="0" borderId="0"/>
    <xf numFmtId="0" fontId="2" fillId="0" borderId="0"/>
    <xf numFmtId="0" fontId="11" fillId="0" borderId="0"/>
    <xf numFmtId="0" fontId="11" fillId="0" borderId="0"/>
    <xf numFmtId="0" fontId="11"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11"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0" fontId="11" fillId="0" borderId="0"/>
    <xf numFmtId="0" fontId="11" fillId="0" borderId="0"/>
    <xf numFmtId="0" fontId="7" fillId="0" borderId="0"/>
    <xf numFmtId="0" fontId="34"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7" fillId="0" borderId="0"/>
    <xf numFmtId="0" fontId="7" fillId="0" borderId="0"/>
    <xf numFmtId="0" fontId="2" fillId="0" borderId="0"/>
    <xf numFmtId="0" fontId="2"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9" fillId="0" borderId="0"/>
    <xf numFmtId="0" fontId="3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7" fillId="0" borderId="0"/>
    <xf numFmtId="0" fontId="7"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7" fillId="0" borderId="0"/>
    <xf numFmtId="0" fontId="7" fillId="0" borderId="0"/>
    <xf numFmtId="0" fontId="36" fillId="0" borderId="0" applyFont="0" applyFill="0" applyAlignment="0" applyProtection="0"/>
    <xf numFmtId="0" fontId="36" fillId="0" borderId="0" applyFont="0" applyFill="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34" fillId="15" borderId="23" applyNumberFormat="0" applyFont="0" applyAlignment="0" applyProtection="0"/>
    <xf numFmtId="0" fontId="3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7" fillId="15" borderId="23" applyNumberFormat="0" applyFon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0" fontId="24" fillId="17" borderId="24"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5"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8" fillId="0" borderId="0"/>
    <xf numFmtId="0" fontId="7" fillId="0" borderId="0"/>
  </cellStyleXfs>
  <cellXfs count="808">
    <xf numFmtId="0" fontId="0" fillId="0" borderId="0" xfId="0"/>
    <xf numFmtId="3" fontId="41" fillId="0" borderId="1" xfId="0" applyNumberFormat="1" applyFont="1" applyFill="1" applyBorder="1" applyAlignment="1" applyProtection="1">
      <alignment horizontal="center" vertical="center" wrapText="1"/>
    </xf>
    <xf numFmtId="3" fontId="41" fillId="0" borderId="0" xfId="0" applyNumberFormat="1" applyFont="1" applyBorder="1" applyAlignment="1" applyProtection="1">
      <alignment vertical="center"/>
    </xf>
    <xf numFmtId="3" fontId="42" fillId="2" borderId="1" xfId="0" applyNumberFormat="1" applyFont="1" applyFill="1" applyBorder="1" applyAlignment="1" applyProtection="1">
      <alignment horizontal="left" vertical="center" wrapText="1"/>
    </xf>
    <xf numFmtId="3" fontId="41" fillId="3" borderId="1" xfId="0" applyNumberFormat="1" applyFont="1" applyFill="1" applyBorder="1" applyAlignment="1" applyProtection="1">
      <alignment horizontal="left" vertical="center" wrapText="1"/>
    </xf>
    <xf numFmtId="3" fontId="41" fillId="3" borderId="1" xfId="0" applyNumberFormat="1" applyFont="1" applyFill="1" applyBorder="1" applyAlignment="1" applyProtection="1">
      <alignment horizontal="right" vertical="center"/>
      <protection locked="0"/>
    </xf>
    <xf numFmtId="3" fontId="42" fillId="0" borderId="1" xfId="1" applyNumberFormat="1" applyFont="1" applyFill="1" applyBorder="1" applyAlignment="1" applyProtection="1">
      <alignment horizontal="left" vertical="center" wrapText="1"/>
    </xf>
    <xf numFmtId="3" fontId="41" fillId="0" borderId="1" xfId="0" applyNumberFormat="1" applyFont="1" applyFill="1" applyBorder="1" applyAlignment="1" applyProtection="1">
      <alignment horizontal="right" vertical="center"/>
      <protection locked="0"/>
    </xf>
    <xf numFmtId="3" fontId="41" fillId="0" borderId="0" xfId="0" applyNumberFormat="1" applyFont="1" applyFill="1" applyBorder="1" applyAlignment="1" applyProtection="1">
      <alignment vertical="center"/>
    </xf>
    <xf numFmtId="3" fontId="41" fillId="0" borderId="1" xfId="0" applyNumberFormat="1" applyFont="1" applyFill="1" applyBorder="1" applyAlignment="1" applyProtection="1">
      <alignment horizontal="right" vertical="center" wrapText="1"/>
      <protection locked="0"/>
    </xf>
    <xf numFmtId="0" fontId="40" fillId="0" borderId="0" xfId="0" applyFont="1" applyAlignment="1">
      <alignment vertical="center"/>
    </xf>
    <xf numFmtId="0" fontId="42" fillId="2" borderId="1" xfId="6" applyFont="1" applyFill="1" applyBorder="1" applyAlignment="1" applyProtection="1">
      <alignment horizontal="left" vertical="center" wrapText="1"/>
    </xf>
    <xf numFmtId="3" fontId="41" fillId="3" borderId="1" xfId="6" applyNumberFormat="1" applyFont="1" applyFill="1" applyBorder="1" applyAlignment="1" applyProtection="1">
      <alignment horizontal="center" vertical="center" wrapText="1"/>
    </xf>
    <xf numFmtId="0" fontId="41" fillId="0" borderId="1" xfId="1467" applyFont="1" applyFill="1" applyBorder="1" applyAlignment="1" applyProtection="1">
      <alignment horizontal="center" vertical="center"/>
    </xf>
    <xf numFmtId="3" fontId="41" fillId="0" borderId="1" xfId="6" applyNumberFormat="1" applyFont="1" applyFill="1" applyBorder="1" applyAlignment="1" applyProtection="1">
      <alignment vertical="center"/>
      <protection locked="0"/>
    </xf>
    <xf numFmtId="3" fontId="41" fillId="3" borderId="1" xfId="6" applyNumberFormat="1" applyFont="1" applyFill="1" applyBorder="1" applyAlignment="1" applyProtection="1">
      <alignment horizontal="right" vertical="center"/>
      <protection locked="0"/>
    </xf>
    <xf numFmtId="3" fontId="41" fillId="0" borderId="1" xfId="6" applyNumberFormat="1" applyFont="1" applyFill="1" applyBorder="1" applyAlignment="1" applyProtection="1">
      <alignment horizontal="right" vertical="center"/>
      <protection locked="0"/>
    </xf>
    <xf numFmtId="3" fontId="43" fillId="0" borderId="1" xfId="6" applyNumberFormat="1" applyFont="1" applyFill="1" applyBorder="1" applyAlignment="1" applyProtection="1">
      <alignment horizontal="center" vertical="center"/>
    </xf>
    <xf numFmtId="3" fontId="43" fillId="5" borderId="1" xfId="0" applyNumberFormat="1" applyFont="1" applyFill="1" applyBorder="1" applyAlignment="1" applyProtection="1">
      <alignment horizontal="center" vertical="center" wrapText="1"/>
    </xf>
    <xf numFmtId="0" fontId="41" fillId="0" borderId="1" xfId="0" applyNumberFormat="1" applyFont="1" applyFill="1" applyBorder="1" applyAlignment="1" applyProtection="1">
      <alignment horizontal="center" vertical="center"/>
    </xf>
    <xf numFmtId="3" fontId="41" fillId="0" borderId="1" xfId="0" applyNumberFormat="1" applyFont="1" applyFill="1" applyBorder="1" applyAlignment="1" applyProtection="1">
      <alignment horizontal="left" vertical="center" wrapText="1"/>
    </xf>
    <xf numFmtId="0" fontId="42" fillId="2" borderId="1" xfId="0" applyFont="1" applyFill="1" applyBorder="1" applyAlignment="1" applyProtection="1">
      <alignment horizontal="left" vertical="center" wrapText="1"/>
    </xf>
    <xf numFmtId="3" fontId="43" fillId="5" borderId="1" xfId="12" applyNumberFormat="1" applyFont="1" applyFill="1" applyBorder="1" applyAlignment="1" applyProtection="1">
      <alignment horizontal="center" vertical="center" wrapText="1"/>
    </xf>
    <xf numFmtId="3" fontId="43" fillId="0" borderId="1" xfId="0" applyNumberFormat="1" applyFont="1" applyFill="1" applyBorder="1" applyAlignment="1" applyProtection="1">
      <alignment horizontal="center" vertical="center" wrapText="1"/>
    </xf>
    <xf numFmtId="0" fontId="41" fillId="0" borderId="0" xfId="0" applyFont="1" applyProtection="1">
      <protection locked="0"/>
    </xf>
    <xf numFmtId="0" fontId="41" fillId="0" borderId="1" xfId="6" applyNumberFormat="1" applyFont="1" applyFill="1" applyBorder="1" applyAlignment="1" applyProtection="1">
      <alignment horizontal="center" vertical="center"/>
    </xf>
    <xf numFmtId="3" fontId="41" fillId="0" borderId="1" xfId="1" applyNumberFormat="1" applyFont="1" applyFill="1" applyBorder="1" applyAlignment="1" applyProtection="1">
      <alignment horizontal="center" vertical="center" wrapText="1"/>
    </xf>
    <xf numFmtId="0" fontId="41" fillId="0" borderId="0" xfId="0" applyFont="1" applyAlignment="1" applyProtection="1">
      <alignment vertical="center"/>
    </xf>
    <xf numFmtId="0" fontId="42" fillId="8" borderId="1" xfId="6" applyNumberFormat="1" applyFont="1" applyFill="1" applyBorder="1" applyAlignment="1" applyProtection="1">
      <alignment horizontal="center" vertical="center"/>
    </xf>
    <xf numFmtId="0" fontId="42" fillId="6" borderId="1" xfId="6" applyNumberFormat="1" applyFont="1" applyFill="1" applyBorder="1" applyAlignment="1" applyProtection="1">
      <alignment horizontal="center" vertical="center"/>
    </xf>
    <xf numFmtId="0" fontId="42" fillId="2" borderId="1" xfId="6" applyNumberFormat="1" applyFont="1" applyFill="1" applyBorder="1" applyAlignment="1" applyProtection="1">
      <alignment horizontal="center" vertical="center"/>
    </xf>
    <xf numFmtId="0" fontId="42" fillId="2" borderId="1" xfId="6" applyFont="1" applyFill="1" applyBorder="1" applyAlignment="1" applyProtection="1">
      <alignment vertical="center" wrapText="1"/>
    </xf>
    <xf numFmtId="3" fontId="42" fillId="2" borderId="1" xfId="6" applyNumberFormat="1" applyFont="1" applyFill="1" applyBorder="1" applyAlignment="1" applyProtection="1">
      <alignment horizontal="right" vertical="center" wrapText="1"/>
    </xf>
    <xf numFmtId="0" fontId="43" fillId="0" borderId="0" xfId="0" applyFont="1" applyAlignment="1" applyProtection="1">
      <alignment vertical="center"/>
    </xf>
    <xf numFmtId="0" fontId="44" fillId="0" borderId="0" xfId="0" applyFont="1" applyAlignment="1" applyProtection="1">
      <alignment vertical="center"/>
    </xf>
    <xf numFmtId="3" fontId="42" fillId="6" borderId="1" xfId="6" applyNumberFormat="1" applyFont="1" applyFill="1" applyBorder="1" applyAlignment="1" applyProtection="1">
      <alignment horizontal="right" vertical="center"/>
    </xf>
    <xf numFmtId="0" fontId="42" fillId="6" borderId="1" xfId="6" applyFont="1" applyFill="1" applyBorder="1" applyAlignment="1" applyProtection="1">
      <alignment vertical="center" wrapText="1"/>
    </xf>
    <xf numFmtId="0" fontId="42" fillId="6" borderId="1" xfId="0" applyFont="1" applyFill="1" applyBorder="1" applyAlignment="1" applyProtection="1">
      <alignment horizontal="center" vertical="center"/>
    </xf>
    <xf numFmtId="0" fontId="42" fillId="6" borderId="1" xfId="0" applyFont="1" applyFill="1" applyBorder="1" applyAlignment="1" applyProtection="1">
      <alignment vertical="center" wrapText="1"/>
    </xf>
    <xf numFmtId="3" fontId="42" fillId="6" borderId="1" xfId="6" applyNumberFormat="1" applyFont="1" applyFill="1" applyBorder="1" applyAlignment="1" applyProtection="1">
      <alignment vertical="center" wrapText="1"/>
    </xf>
    <xf numFmtId="0" fontId="42" fillId="2" borderId="1" xfId="0" applyFont="1" applyFill="1" applyBorder="1" applyAlignment="1" applyProtection="1">
      <alignment horizontal="center" vertical="center"/>
    </xf>
    <xf numFmtId="3" fontId="42" fillId="2" borderId="1" xfId="0" applyNumberFormat="1" applyFont="1" applyFill="1" applyBorder="1" applyAlignment="1" applyProtection="1">
      <alignment horizontal="right" vertical="center"/>
    </xf>
    <xf numFmtId="0" fontId="41" fillId="0" borderId="0" xfId="0" applyFont="1" applyFill="1" applyAlignment="1" applyProtection="1">
      <alignment vertical="center"/>
    </xf>
    <xf numFmtId="0" fontId="41" fillId="0" borderId="1" xfId="0" applyFont="1" applyBorder="1" applyAlignment="1" applyProtection="1">
      <alignment horizontal="center" vertical="center"/>
    </xf>
    <xf numFmtId="0" fontId="41" fillId="3" borderId="1" xfId="6" applyFont="1" applyFill="1" applyBorder="1" applyAlignment="1" applyProtection="1">
      <alignment horizontal="left" vertical="center" wrapText="1"/>
    </xf>
    <xf numFmtId="0" fontId="42" fillId="0" borderId="1" xfId="0" applyFont="1" applyFill="1" applyBorder="1" applyAlignment="1" applyProtection="1">
      <alignment horizontal="center" vertical="center"/>
    </xf>
    <xf numFmtId="0" fontId="42" fillId="0" borderId="1" xfId="0" applyFont="1" applyFill="1" applyBorder="1" applyAlignment="1" applyProtection="1">
      <alignment vertical="center" wrapText="1"/>
    </xf>
    <xf numFmtId="0" fontId="42" fillId="6" borderId="4" xfId="6" applyNumberFormat="1" applyFont="1" applyFill="1" applyBorder="1" applyAlignment="1" applyProtection="1">
      <alignment horizontal="center" vertical="center"/>
    </xf>
    <xf numFmtId="0" fontId="42" fillId="6" borderId="6" xfId="6" applyNumberFormat="1" applyFont="1" applyFill="1" applyBorder="1" applyAlignment="1" applyProtection="1">
      <alignment horizontal="center" vertical="center"/>
    </xf>
    <xf numFmtId="0" fontId="42" fillId="0" borderId="1" xfId="6" applyNumberFormat="1" applyFont="1" applyFill="1" applyBorder="1" applyAlignment="1" applyProtection="1">
      <alignment horizontal="center" vertical="center"/>
    </xf>
    <xf numFmtId="16" fontId="42" fillId="0" borderId="1" xfId="6" applyNumberFormat="1" applyFont="1" applyFill="1" applyBorder="1" applyAlignment="1" applyProtection="1">
      <alignment vertical="center" wrapText="1"/>
    </xf>
    <xf numFmtId="0" fontId="41" fillId="0" borderId="1" xfId="6" applyNumberFormat="1" applyFont="1" applyFill="1" applyBorder="1" applyAlignment="1" applyProtection="1">
      <alignment horizontal="center" vertical="center" wrapText="1"/>
    </xf>
    <xf numFmtId="0" fontId="41" fillId="0" borderId="1" xfId="6" applyFont="1" applyFill="1" applyBorder="1" applyAlignment="1" applyProtection="1">
      <alignment vertical="center" wrapText="1"/>
    </xf>
    <xf numFmtId="0" fontId="41" fillId="0" borderId="1" xfId="6" applyFont="1" applyFill="1" applyBorder="1" applyAlignment="1" applyProtection="1">
      <alignment horizontal="left" vertical="center" wrapText="1"/>
    </xf>
    <xf numFmtId="3" fontId="41" fillId="0" borderId="1" xfId="6" applyNumberFormat="1" applyFont="1" applyFill="1" applyBorder="1" applyAlignment="1" applyProtection="1">
      <alignment horizontal="left" vertical="center" wrapText="1"/>
    </xf>
    <xf numFmtId="3" fontId="41" fillId="0" borderId="1" xfId="6" applyNumberFormat="1" applyFont="1" applyFill="1" applyBorder="1" applyAlignment="1" applyProtection="1">
      <alignment vertical="center" wrapText="1"/>
    </xf>
    <xf numFmtId="0" fontId="42" fillId="6" borderId="1" xfId="6" applyNumberFormat="1" applyFont="1" applyFill="1" applyBorder="1" applyAlignment="1" applyProtection="1">
      <alignment horizontal="center" vertical="center" wrapText="1"/>
    </xf>
    <xf numFmtId="0" fontId="42" fillId="0" borderId="1" xfId="6" applyNumberFormat="1" applyFont="1" applyFill="1" applyBorder="1" applyAlignment="1" applyProtection="1">
      <alignment horizontal="center" vertical="center" wrapText="1"/>
    </xf>
    <xf numFmtId="3" fontId="42" fillId="0" borderId="1" xfId="6" applyNumberFormat="1" applyFont="1" applyFill="1" applyBorder="1" applyAlignment="1" applyProtection="1">
      <alignment vertical="center" wrapText="1"/>
    </xf>
    <xf numFmtId="49" fontId="42" fillId="0" borderId="1" xfId="6" applyNumberFormat="1" applyFont="1" applyFill="1" applyBorder="1" applyAlignment="1" applyProtection="1">
      <alignment horizontal="left" vertical="center" wrapText="1"/>
    </xf>
    <xf numFmtId="0" fontId="48" fillId="0" borderId="1" xfId="6" applyNumberFormat="1" applyFont="1" applyFill="1" applyBorder="1" applyAlignment="1" applyProtection="1">
      <alignment horizontal="center" vertical="center" wrapText="1"/>
    </xf>
    <xf numFmtId="49" fontId="48" fillId="0" borderId="1" xfId="6" applyNumberFormat="1" applyFont="1" applyFill="1" applyBorder="1" applyAlignment="1" applyProtection="1">
      <alignment horizontal="left" vertical="center" wrapText="1"/>
    </xf>
    <xf numFmtId="0" fontId="42" fillId="3" borderId="5" xfId="6" applyNumberFormat="1" applyFont="1" applyFill="1" applyBorder="1" applyAlignment="1" applyProtection="1">
      <alignment horizontal="center" vertical="center"/>
    </xf>
    <xf numFmtId="0" fontId="41" fillId="3" borderId="1" xfId="6" applyNumberFormat="1" applyFont="1" applyFill="1" applyBorder="1" applyAlignment="1" applyProtection="1">
      <alignment horizontal="center" vertical="center"/>
    </xf>
    <xf numFmtId="0" fontId="41" fillId="0" borderId="0" xfId="0" applyFont="1" applyAlignment="1" applyProtection="1">
      <alignment horizontal="center" vertical="center"/>
    </xf>
    <xf numFmtId="0" fontId="41" fillId="0" borderId="0" xfId="0" applyFont="1" applyAlignment="1" applyProtection="1">
      <alignment horizontal="right" vertical="center"/>
    </xf>
    <xf numFmtId="3" fontId="41" fillId="0" borderId="1" xfId="0" applyNumberFormat="1" applyFont="1" applyBorder="1" applyAlignment="1" applyProtection="1">
      <alignment vertical="center"/>
      <protection locked="0"/>
    </xf>
    <xf numFmtId="0" fontId="41" fillId="3" borderId="1" xfId="6" applyFont="1" applyFill="1" applyBorder="1" applyAlignment="1" applyProtection="1">
      <alignment horizontal="left" vertical="center" wrapText="1"/>
      <protection locked="0"/>
    </xf>
    <xf numFmtId="0" fontId="41" fillId="0" borderId="1" xfId="0" applyFont="1" applyBorder="1" applyAlignment="1" applyProtection="1">
      <alignment horizontal="center" vertical="center"/>
      <protection locked="0"/>
    </xf>
    <xf numFmtId="0" fontId="41" fillId="0" borderId="1" xfId="6" applyNumberFormat="1" applyFont="1" applyFill="1" applyBorder="1" applyAlignment="1" applyProtection="1">
      <alignment horizontal="center" vertical="center" wrapText="1"/>
      <protection locked="0"/>
    </xf>
    <xf numFmtId="0" fontId="41" fillId="0" borderId="1" xfId="6" applyFont="1" applyFill="1" applyBorder="1" applyAlignment="1" applyProtection="1">
      <alignment vertical="center" wrapText="1"/>
      <protection locked="0"/>
    </xf>
    <xf numFmtId="0" fontId="41" fillId="0" borderId="1" xfId="6" applyFont="1" applyFill="1" applyBorder="1" applyAlignment="1" applyProtection="1">
      <alignment horizontal="left" vertical="center" wrapText="1"/>
      <protection locked="0"/>
    </xf>
    <xf numFmtId="0" fontId="41" fillId="0" borderId="1" xfId="6" applyNumberFormat="1" applyFont="1" applyFill="1" applyBorder="1" applyAlignment="1" applyProtection="1">
      <alignment horizontal="center" vertical="center"/>
      <protection locked="0"/>
    </xf>
    <xf numFmtId="3" fontId="41" fillId="0" borderId="1" xfId="6" applyNumberFormat="1" applyFont="1" applyFill="1" applyBorder="1" applyAlignment="1" applyProtection="1">
      <alignment horizontal="left" vertical="center" wrapText="1"/>
      <protection locked="0"/>
    </xf>
    <xf numFmtId="3" fontId="41" fillId="0" borderId="1" xfId="6" applyNumberFormat="1" applyFont="1" applyFill="1" applyBorder="1" applyAlignment="1" applyProtection="1">
      <alignment vertical="center" wrapText="1"/>
      <protection locked="0"/>
    </xf>
    <xf numFmtId="3" fontId="42" fillId="0" borderId="1" xfId="6" applyNumberFormat="1" applyFont="1" applyFill="1" applyBorder="1" applyAlignment="1" applyProtection="1">
      <alignment horizontal="right" vertical="center" wrapText="1"/>
      <protection locked="0"/>
    </xf>
    <xf numFmtId="3" fontId="48" fillId="0" borderId="1" xfId="6" applyNumberFormat="1" applyFont="1" applyFill="1" applyBorder="1" applyAlignment="1" applyProtection="1">
      <alignment horizontal="right" vertical="center" wrapText="1"/>
      <protection locked="0"/>
    </xf>
    <xf numFmtId="49" fontId="42" fillId="2" borderId="5" xfId="6" applyNumberFormat="1" applyFont="1" applyFill="1" applyBorder="1" applyAlignment="1" applyProtection="1">
      <alignment horizontal="center" vertical="center"/>
    </xf>
    <xf numFmtId="0" fontId="42" fillId="2" borderId="7" xfId="6" applyFont="1" applyFill="1" applyBorder="1" applyAlignment="1" applyProtection="1">
      <alignment vertical="center" wrapText="1"/>
    </xf>
    <xf numFmtId="0" fontId="42" fillId="2" borderId="8" xfId="6" applyFont="1" applyFill="1" applyBorder="1" applyAlignment="1" applyProtection="1">
      <alignment horizontal="center" vertical="center" wrapText="1"/>
    </xf>
    <xf numFmtId="3" fontId="42" fillId="2" borderId="1" xfId="6" applyNumberFormat="1" applyFont="1" applyFill="1" applyBorder="1" applyAlignment="1" applyProtection="1">
      <alignment horizontal="center" vertical="center"/>
    </xf>
    <xf numFmtId="3" fontId="44" fillId="2" borderId="3" xfId="6" applyNumberFormat="1" applyFont="1" applyFill="1" applyBorder="1" applyAlignment="1" applyProtection="1">
      <alignment horizontal="center" vertical="center"/>
    </xf>
    <xf numFmtId="3" fontId="44" fillId="2" borderId="1" xfId="6" applyNumberFormat="1" applyFont="1" applyFill="1" applyBorder="1" applyAlignment="1" applyProtection="1">
      <alignment horizontal="center" vertical="center"/>
    </xf>
    <xf numFmtId="49" fontId="42" fillId="4" borderId="5" xfId="6" applyNumberFormat="1" applyFont="1" applyFill="1" applyBorder="1" applyAlignment="1" applyProtection="1">
      <alignment horizontal="center" vertical="center"/>
    </xf>
    <xf numFmtId="0" fontId="42" fillId="4" borderId="4" xfId="6" applyFont="1" applyFill="1" applyBorder="1" applyAlignment="1" applyProtection="1">
      <alignment vertical="center" wrapText="1"/>
    </xf>
    <xf numFmtId="0" fontId="42" fillId="4" borderId="4" xfId="6" applyFont="1" applyFill="1" applyBorder="1" applyAlignment="1" applyProtection="1">
      <alignment horizontal="center" vertical="center" wrapText="1"/>
    </xf>
    <xf numFmtId="3" fontId="42" fillId="4" borderId="1" xfId="6" applyNumberFormat="1" applyFont="1" applyFill="1" applyBorder="1" applyAlignment="1" applyProtection="1">
      <alignment horizontal="center" vertical="center"/>
    </xf>
    <xf numFmtId="3" fontId="44" fillId="4" borderId="1" xfId="6" applyNumberFormat="1" applyFont="1" applyFill="1" applyBorder="1" applyAlignment="1" applyProtection="1">
      <alignment horizontal="center" vertical="center"/>
    </xf>
    <xf numFmtId="49" fontId="41" fillId="0" borderId="5" xfId="6" applyNumberFormat="1" applyFont="1" applyFill="1" applyBorder="1" applyAlignment="1" applyProtection="1">
      <alignment horizontal="center" vertical="center"/>
    </xf>
    <xf numFmtId="49" fontId="41" fillId="0" borderId="1" xfId="6" applyNumberFormat="1" applyFont="1" applyFill="1" applyBorder="1" applyAlignment="1" applyProtection="1">
      <alignment horizontal="center" vertical="center"/>
    </xf>
    <xf numFmtId="0" fontId="42" fillId="2" borderId="4" xfId="6" applyFont="1" applyFill="1" applyBorder="1" applyAlignment="1" applyProtection="1">
      <alignment vertical="center" wrapText="1"/>
    </xf>
    <xf numFmtId="0" fontId="42" fillId="2" borderId="9" xfId="6" applyFont="1" applyFill="1" applyBorder="1" applyAlignment="1" applyProtection="1">
      <alignment horizontal="center" vertical="center" wrapText="1"/>
    </xf>
    <xf numFmtId="0" fontId="41" fillId="0" borderId="1" xfId="0" applyFont="1" applyFill="1" applyBorder="1" applyAlignment="1" applyProtection="1">
      <alignment horizontal="left" vertical="center" wrapText="1" readingOrder="1"/>
    </xf>
    <xf numFmtId="49" fontId="42" fillId="2" borderId="1" xfId="6" applyNumberFormat="1" applyFont="1" applyFill="1" applyBorder="1" applyAlignment="1" applyProtection="1">
      <alignment horizontal="center" vertical="center"/>
    </xf>
    <xf numFmtId="3" fontId="42" fillId="2" borderId="1" xfId="6" applyNumberFormat="1" applyFont="1" applyFill="1" applyBorder="1" applyAlignment="1" applyProtection="1">
      <alignment vertical="center" wrapText="1"/>
    </xf>
    <xf numFmtId="3" fontId="44" fillId="2" borderId="1" xfId="6" applyNumberFormat="1" applyFont="1" applyFill="1" applyBorder="1" applyAlignment="1" applyProtection="1">
      <alignment horizontal="center" vertical="center" wrapText="1"/>
    </xf>
    <xf numFmtId="49" fontId="42" fillId="32" borderId="1" xfId="6" applyNumberFormat="1" applyFont="1" applyFill="1" applyBorder="1" applyAlignment="1" applyProtection="1">
      <alignment horizontal="center" vertical="center"/>
    </xf>
    <xf numFmtId="3" fontId="42" fillId="32" borderId="1" xfId="6" applyNumberFormat="1" applyFont="1" applyFill="1" applyBorder="1" applyAlignment="1" applyProtection="1">
      <alignment horizontal="center" vertical="center"/>
    </xf>
    <xf numFmtId="3" fontId="42" fillId="2" borderId="3" xfId="6" applyNumberFormat="1" applyFont="1" applyFill="1" applyBorder="1" applyAlignment="1" applyProtection="1">
      <alignment horizontal="center" vertical="center" wrapText="1"/>
    </xf>
    <xf numFmtId="3" fontId="43" fillId="0" borderId="1" xfId="6" applyNumberFormat="1" applyFont="1" applyFill="1" applyBorder="1" applyAlignment="1" applyProtection="1">
      <alignment horizontal="left" vertical="center" wrapText="1" indent="2"/>
    </xf>
    <xf numFmtId="3" fontId="42" fillId="32" borderId="1" xfId="6" applyNumberFormat="1" applyFont="1" applyFill="1" applyBorder="1" applyAlignment="1" applyProtection="1">
      <alignment horizontal="left" vertical="center" wrapText="1"/>
    </xf>
    <xf numFmtId="3" fontId="42" fillId="32" borderId="1" xfId="6" applyNumberFormat="1" applyFont="1" applyFill="1" applyBorder="1" applyAlignment="1" applyProtection="1">
      <alignment horizontal="center" vertical="center" wrapText="1"/>
    </xf>
    <xf numFmtId="3" fontId="42" fillId="32" borderId="1" xfId="0" applyNumberFormat="1" applyFont="1" applyFill="1" applyBorder="1" applyAlignment="1" applyProtection="1">
      <alignment horizontal="center" vertical="center"/>
    </xf>
    <xf numFmtId="3" fontId="44" fillId="32" borderId="1" xfId="0" applyNumberFormat="1" applyFont="1" applyFill="1" applyBorder="1" applyAlignment="1" applyProtection="1">
      <alignment horizontal="center" vertical="center"/>
    </xf>
    <xf numFmtId="49" fontId="41" fillId="0" borderId="0" xfId="6" applyNumberFormat="1" applyFont="1" applyFill="1" applyBorder="1" applyAlignment="1" applyProtection="1">
      <alignment horizontal="center" vertical="center"/>
    </xf>
    <xf numFmtId="3" fontId="41" fillId="0" borderId="0" xfId="6" applyNumberFormat="1" applyFont="1" applyFill="1" applyBorder="1" applyAlignment="1" applyProtection="1">
      <alignment horizontal="left" vertical="center" wrapText="1"/>
    </xf>
    <xf numFmtId="3" fontId="41" fillId="0" borderId="0" xfId="6" applyNumberFormat="1" applyFont="1" applyFill="1" applyBorder="1" applyAlignment="1" applyProtection="1">
      <alignment horizontal="right" vertical="center" wrapText="1"/>
    </xf>
    <xf numFmtId="3" fontId="41" fillId="0" borderId="0" xfId="0" applyNumberFormat="1" applyFont="1" applyFill="1" applyBorder="1" applyAlignment="1" applyProtection="1">
      <alignment horizontal="right" vertical="center"/>
    </xf>
    <xf numFmtId="3" fontId="41" fillId="0" borderId="0" xfId="6" applyNumberFormat="1" applyFont="1" applyFill="1" applyBorder="1" applyAlignment="1" applyProtection="1">
      <alignment horizontal="right" vertical="center"/>
    </xf>
    <xf numFmtId="3" fontId="43" fillId="0" borderId="0" xfId="0" applyNumberFormat="1" applyFont="1" applyFill="1" applyBorder="1" applyAlignment="1" applyProtection="1">
      <alignment horizontal="center" vertical="center"/>
    </xf>
    <xf numFmtId="3" fontId="43" fillId="0" borderId="0" xfId="6" applyNumberFormat="1" applyFont="1" applyFill="1" applyBorder="1" applyAlignment="1" applyProtection="1">
      <alignment horizontal="center" vertical="center"/>
    </xf>
    <xf numFmtId="0" fontId="41" fillId="0" borderId="0" xfId="0" applyFont="1" applyAlignment="1" applyProtection="1">
      <alignment vertical="center" wrapText="1"/>
    </xf>
    <xf numFmtId="0" fontId="43" fillId="0" borderId="0" xfId="0" applyFont="1" applyAlignment="1" applyProtection="1">
      <alignment horizontal="center" vertical="center"/>
    </xf>
    <xf numFmtId="3" fontId="41" fillId="3" borderId="6" xfId="6" applyNumberFormat="1" applyFont="1" applyFill="1" applyBorder="1" applyAlignment="1" applyProtection="1">
      <alignment horizontal="right" vertical="center" wrapText="1"/>
      <protection locked="0"/>
    </xf>
    <xf numFmtId="3" fontId="41" fillId="3" borderId="1" xfId="6" applyNumberFormat="1" applyFont="1" applyFill="1" applyBorder="1" applyAlignment="1" applyProtection="1">
      <alignment horizontal="right" vertical="center" wrapText="1"/>
      <protection locked="0"/>
    </xf>
    <xf numFmtId="3" fontId="41" fillId="0" borderId="1" xfId="6" applyNumberFormat="1" applyFont="1" applyFill="1" applyBorder="1" applyAlignment="1" applyProtection="1">
      <alignment horizontal="right" vertical="center" wrapText="1"/>
      <protection locked="0"/>
    </xf>
    <xf numFmtId="3" fontId="44" fillId="2" borderId="1" xfId="6" applyNumberFormat="1" applyFont="1" applyFill="1" applyBorder="1" applyAlignment="1" applyProtection="1">
      <alignment horizontal="center" vertical="center" wrapText="1"/>
      <protection locked="0"/>
    </xf>
    <xf numFmtId="0" fontId="41" fillId="7" borderId="1"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left" vertical="center" wrapText="1"/>
      <protection locked="0"/>
    </xf>
    <xf numFmtId="0" fontId="41" fillId="7" borderId="10" xfId="0" applyFont="1" applyFill="1" applyBorder="1" applyAlignment="1" applyProtection="1">
      <alignment horizontal="center" vertical="center" wrapText="1"/>
      <protection locked="0"/>
    </xf>
    <xf numFmtId="0" fontId="41" fillId="7" borderId="10" xfId="0" applyFont="1" applyFill="1" applyBorder="1" applyAlignment="1" applyProtection="1">
      <alignment horizontal="left" vertical="center" wrapText="1" indent="1"/>
      <protection locked="0"/>
    </xf>
    <xf numFmtId="0" fontId="41" fillId="0" borderId="0" xfId="0" applyFont="1" applyAlignment="1" applyProtection="1">
      <alignment vertical="center"/>
      <protection locked="0"/>
    </xf>
    <xf numFmtId="3" fontId="41" fillId="5" borderId="1" xfId="0" applyNumberFormat="1" applyFont="1" applyFill="1" applyBorder="1" applyAlignment="1" applyProtection="1">
      <alignment horizontal="center" vertical="center" wrapText="1"/>
    </xf>
    <xf numFmtId="3" fontId="42" fillId="2" borderId="1" xfId="1" applyNumberFormat="1" applyFont="1" applyFill="1" applyBorder="1" applyAlignment="1" applyProtection="1">
      <alignment horizontal="right" vertical="center"/>
      <protection locked="0"/>
    </xf>
    <xf numFmtId="3" fontId="41" fillId="3" borderId="1" xfId="1" applyNumberFormat="1" applyFont="1" applyFill="1" applyBorder="1" applyAlignment="1" applyProtection="1">
      <alignment horizontal="right" vertical="center"/>
      <protection locked="0"/>
    </xf>
    <xf numFmtId="3" fontId="42" fillId="2" borderId="1" xfId="6" applyNumberFormat="1" applyFont="1" applyFill="1" applyBorder="1" applyAlignment="1" applyProtection="1">
      <alignment horizontal="right" vertical="center"/>
      <protection locked="0"/>
    </xf>
    <xf numFmtId="3" fontId="42" fillId="2" borderId="1" xfId="6" applyNumberFormat="1" applyFont="1" applyFill="1" applyBorder="1" applyAlignment="1" applyProtection="1">
      <alignment horizontal="right" vertical="center"/>
    </xf>
    <xf numFmtId="3" fontId="42" fillId="0" borderId="1" xfId="6" applyNumberFormat="1" applyFont="1" applyFill="1" applyBorder="1" applyAlignment="1" applyProtection="1">
      <alignment horizontal="right" vertical="center"/>
      <protection locked="0"/>
    </xf>
    <xf numFmtId="3" fontId="42" fillId="6" borderId="1" xfId="0" applyNumberFormat="1" applyFont="1" applyFill="1" applyBorder="1" applyAlignment="1" applyProtection="1">
      <alignment horizontal="right" vertical="center"/>
    </xf>
    <xf numFmtId="3" fontId="42" fillId="0" borderId="1" xfId="0" applyNumberFormat="1" applyFont="1" applyFill="1" applyBorder="1" applyAlignment="1" applyProtection="1">
      <alignment horizontal="right" vertical="center"/>
      <protection locked="0"/>
    </xf>
    <xf numFmtId="3" fontId="42" fillId="0" borderId="1" xfId="0" applyNumberFormat="1" applyFont="1" applyFill="1" applyBorder="1" applyAlignment="1" applyProtection="1">
      <alignment horizontal="right" vertical="center"/>
    </xf>
    <xf numFmtId="3" fontId="41" fillId="0" borderId="1" xfId="0" applyNumberFormat="1" applyFont="1" applyBorder="1" applyAlignment="1" applyProtection="1">
      <alignment horizontal="right" vertical="center"/>
    </xf>
    <xf numFmtId="3" fontId="41" fillId="0" borderId="1" xfId="0" applyNumberFormat="1" applyFont="1" applyBorder="1" applyAlignment="1" applyProtection="1">
      <alignment horizontal="right" vertical="center"/>
      <protection locked="0"/>
    </xf>
    <xf numFmtId="3" fontId="41" fillId="0" borderId="1" xfId="6" applyNumberFormat="1" applyFont="1" applyFill="1" applyBorder="1" applyAlignment="1" applyProtection="1">
      <alignment horizontal="right" vertical="center"/>
    </xf>
    <xf numFmtId="49" fontId="43" fillId="3" borderId="1" xfId="6" applyNumberFormat="1" applyFont="1" applyFill="1" applyBorder="1" applyAlignment="1" applyProtection="1">
      <alignment horizontal="left" vertical="center"/>
      <protection locked="0"/>
    </xf>
    <xf numFmtId="49" fontId="43" fillId="3" borderId="1" xfId="0" applyNumberFormat="1" applyFont="1" applyFill="1" applyBorder="1" applyAlignment="1" applyProtection="1">
      <alignment horizontal="left" vertical="center"/>
      <protection locked="0"/>
    </xf>
    <xf numFmtId="49" fontId="43" fillId="0" borderId="1" xfId="6" applyNumberFormat="1" applyFont="1" applyFill="1" applyBorder="1" applyAlignment="1" applyProtection="1">
      <alignment horizontal="left" vertical="center"/>
      <protection locked="0"/>
    </xf>
    <xf numFmtId="49" fontId="44" fillId="2" borderId="1" xfId="6" applyNumberFormat="1" applyFont="1" applyFill="1" applyBorder="1" applyAlignment="1" applyProtection="1">
      <alignment horizontal="left" vertical="center" wrapText="1"/>
      <protection locked="0"/>
    </xf>
    <xf numFmtId="3" fontId="41" fillId="3" borderId="3" xfId="6" applyNumberFormat="1" applyFont="1" applyFill="1" applyBorder="1" applyAlignment="1" applyProtection="1">
      <alignment horizontal="right" vertical="center" wrapText="1"/>
      <protection locked="0"/>
    </xf>
    <xf numFmtId="9" fontId="43" fillId="3" borderId="1" xfId="12" applyNumberFormat="1" applyFont="1" applyFill="1" applyBorder="1" applyAlignment="1" applyProtection="1">
      <alignment horizontal="center" vertical="center"/>
    </xf>
    <xf numFmtId="9" fontId="43" fillId="0" borderId="1" xfId="12" applyNumberFormat="1" applyFont="1" applyFill="1" applyBorder="1" applyAlignment="1" applyProtection="1">
      <alignment horizontal="center" vertical="center"/>
    </xf>
    <xf numFmtId="9" fontId="44" fillId="2" borderId="1" xfId="12" applyNumberFormat="1" applyFont="1" applyFill="1" applyBorder="1" applyAlignment="1" applyProtection="1">
      <alignment horizontal="center" vertical="center" wrapText="1"/>
    </xf>
    <xf numFmtId="3" fontId="41" fillId="0" borderId="2" xfId="12" applyNumberFormat="1" applyFont="1" applyFill="1" applyBorder="1" applyAlignment="1" applyProtection="1">
      <alignment horizontal="right" vertical="center" wrapText="1"/>
    </xf>
    <xf numFmtId="49" fontId="43" fillId="3" borderId="1" xfId="12" applyNumberFormat="1" applyFont="1" applyFill="1" applyBorder="1" applyAlignment="1" applyProtection="1">
      <alignment horizontal="left" vertical="center"/>
    </xf>
    <xf numFmtId="49" fontId="43" fillId="0" borderId="1" xfId="12" applyNumberFormat="1" applyFont="1" applyFill="1" applyBorder="1" applyAlignment="1" applyProtection="1">
      <alignment horizontal="left" vertical="center"/>
    </xf>
    <xf numFmtId="3" fontId="43" fillId="0" borderId="1" xfId="6" applyNumberFormat="1" applyFont="1" applyFill="1" applyBorder="1" applyAlignment="1" applyProtection="1">
      <alignment horizontal="center" vertical="center"/>
      <protection locked="0"/>
    </xf>
    <xf numFmtId="9" fontId="43" fillId="0" borderId="1" xfId="12" applyNumberFormat="1" applyFont="1" applyFill="1" applyBorder="1" applyAlignment="1" applyProtection="1">
      <alignment horizontal="center" vertical="center"/>
      <protection locked="0"/>
    </xf>
    <xf numFmtId="3" fontId="43" fillId="3" borderId="1" xfId="6" applyNumberFormat="1" applyFont="1" applyFill="1" applyBorder="1" applyAlignment="1" applyProtection="1">
      <alignment horizontal="center" vertical="center"/>
      <protection locked="0"/>
    </xf>
    <xf numFmtId="9" fontId="43" fillId="3" borderId="1" xfId="12" applyNumberFormat="1" applyFont="1" applyFill="1" applyBorder="1" applyAlignment="1" applyProtection="1">
      <alignment horizontal="center" vertical="center"/>
      <protection locked="0"/>
    </xf>
    <xf numFmtId="3" fontId="43" fillId="3" borderId="1" xfId="0" applyNumberFormat="1" applyFont="1" applyFill="1" applyBorder="1" applyAlignment="1" applyProtection="1">
      <alignment horizontal="center" vertical="center"/>
      <protection locked="0"/>
    </xf>
    <xf numFmtId="3" fontId="43" fillId="0" borderId="2" xfId="12" applyNumberFormat="1" applyFont="1" applyFill="1" applyBorder="1" applyAlignment="1" applyProtection="1">
      <alignment horizontal="center" vertical="center" wrapText="1"/>
    </xf>
    <xf numFmtId="49" fontId="41" fillId="0" borderId="1" xfId="6" applyNumberFormat="1" applyFont="1" applyFill="1" applyBorder="1" applyAlignment="1" applyProtection="1">
      <alignment horizontal="left" vertical="center"/>
      <protection locked="0"/>
    </xf>
    <xf numFmtId="9" fontId="44" fillId="6" borderId="1" xfId="12" applyNumberFormat="1" applyFont="1" applyFill="1" applyBorder="1" applyAlignment="1" applyProtection="1">
      <alignment horizontal="center" vertical="center"/>
    </xf>
    <xf numFmtId="9" fontId="44" fillId="2" borderId="1" xfId="12" applyNumberFormat="1" applyFont="1" applyFill="1" applyBorder="1" applyAlignment="1" applyProtection="1">
      <alignment horizontal="center" vertical="center"/>
    </xf>
    <xf numFmtId="3" fontId="44" fillId="2" borderId="1" xfId="1" applyNumberFormat="1" applyFont="1" applyFill="1" applyBorder="1" applyAlignment="1" applyProtection="1">
      <alignment horizontal="center" vertical="center"/>
      <protection locked="0"/>
    </xf>
    <xf numFmtId="9" fontId="44" fillId="2" borderId="1" xfId="12" applyNumberFormat="1" applyFont="1" applyFill="1" applyBorder="1" applyAlignment="1" applyProtection="1">
      <alignment horizontal="center" vertical="center"/>
      <protection locked="0"/>
    </xf>
    <xf numFmtId="3" fontId="43" fillId="3" borderId="1" xfId="1" applyNumberFormat="1" applyFont="1" applyFill="1" applyBorder="1" applyAlignment="1" applyProtection="1">
      <alignment horizontal="center" vertical="center"/>
      <protection locked="0"/>
    </xf>
    <xf numFmtId="0" fontId="43" fillId="0" borderId="0" xfId="0" applyFont="1" applyAlignment="1" applyProtection="1">
      <alignment horizontal="center"/>
      <protection locked="0"/>
    </xf>
    <xf numFmtId="3" fontId="44" fillId="2" borderId="1" xfId="6" applyNumberFormat="1" applyFont="1" applyFill="1" applyBorder="1" applyAlignment="1" applyProtection="1">
      <alignment horizontal="center" vertical="center"/>
      <protection locked="0"/>
    </xf>
    <xf numFmtId="3" fontId="44" fillId="0" borderId="1" xfId="6" applyNumberFormat="1" applyFont="1" applyFill="1" applyBorder="1" applyAlignment="1" applyProtection="1">
      <alignment horizontal="center" vertical="center"/>
      <protection locked="0"/>
    </xf>
    <xf numFmtId="9" fontId="44" fillId="0" borderId="1" xfId="12" applyNumberFormat="1" applyFont="1" applyFill="1" applyBorder="1" applyAlignment="1" applyProtection="1">
      <alignment horizontal="center" vertical="center"/>
      <protection locked="0"/>
    </xf>
    <xf numFmtId="3" fontId="44" fillId="6" borderId="1" xfId="6" applyNumberFormat="1" applyFont="1" applyFill="1" applyBorder="1" applyAlignment="1" applyProtection="1">
      <alignment horizontal="center" vertical="center"/>
    </xf>
    <xf numFmtId="9" fontId="43" fillId="0" borderId="0" xfId="12" applyNumberFormat="1" applyFont="1" applyAlignment="1" applyProtection="1">
      <alignment horizontal="center" vertical="center"/>
    </xf>
    <xf numFmtId="3" fontId="44" fillId="6" borderId="1" xfId="0" applyNumberFormat="1" applyFont="1" applyFill="1" applyBorder="1" applyAlignment="1" applyProtection="1">
      <alignment horizontal="center" vertical="center"/>
    </xf>
    <xf numFmtId="3" fontId="44" fillId="0" borderId="1" xfId="0" applyNumberFormat="1" applyFont="1" applyFill="1" applyBorder="1" applyAlignment="1" applyProtection="1">
      <alignment horizontal="center" vertical="center"/>
      <protection locked="0"/>
    </xf>
    <xf numFmtId="3" fontId="44" fillId="0" borderId="1" xfId="0" applyNumberFormat="1" applyFont="1" applyFill="1" applyBorder="1" applyAlignment="1" applyProtection="1">
      <alignment horizontal="center" vertical="center"/>
    </xf>
    <xf numFmtId="9" fontId="44" fillId="0" borderId="1" xfId="12" applyNumberFormat="1" applyFont="1" applyFill="1" applyBorder="1" applyAlignment="1" applyProtection="1">
      <alignment horizontal="center" vertical="center"/>
    </xf>
    <xf numFmtId="3" fontId="44" fillId="2" borderId="1" xfId="0" applyNumberFormat="1" applyFont="1" applyFill="1" applyBorder="1" applyAlignment="1" applyProtection="1">
      <alignment horizontal="center" vertical="center"/>
    </xf>
    <xf numFmtId="3" fontId="43" fillId="0" borderId="1" xfId="0" applyNumberFormat="1" applyFont="1" applyBorder="1" applyAlignment="1" applyProtection="1">
      <alignment horizontal="center" vertical="center"/>
    </xf>
    <xf numFmtId="9" fontId="43" fillId="0" borderId="1" xfId="12" applyNumberFormat="1" applyFont="1" applyBorder="1" applyAlignment="1" applyProtection="1">
      <alignment horizontal="center" vertical="center"/>
    </xf>
    <xf numFmtId="3" fontId="43" fillId="0" borderId="1" xfId="0" applyNumberFormat="1" applyFont="1" applyBorder="1" applyAlignment="1" applyProtection="1">
      <alignment horizontal="center" vertical="center"/>
      <protection locked="0"/>
    </xf>
    <xf numFmtId="9" fontId="43" fillId="0" borderId="1" xfId="12" applyNumberFormat="1" applyFont="1" applyBorder="1" applyAlignment="1" applyProtection="1">
      <alignment horizontal="center" vertical="center"/>
      <protection locked="0"/>
    </xf>
    <xf numFmtId="49" fontId="42" fillId="0" borderId="1" xfId="6" applyNumberFormat="1" applyFont="1" applyFill="1" applyBorder="1" applyAlignment="1" applyProtection="1">
      <alignment horizontal="left" vertical="center"/>
      <protection locked="0"/>
    </xf>
    <xf numFmtId="49" fontId="41" fillId="0" borderId="0" xfId="0" applyNumberFormat="1" applyFont="1" applyFill="1" applyAlignment="1" applyProtection="1">
      <alignment horizontal="left" vertical="center"/>
    </xf>
    <xf numFmtId="0" fontId="53" fillId="0" borderId="0" xfId="1" applyFont="1" applyAlignment="1">
      <alignment vertical="center"/>
    </xf>
    <xf numFmtId="49" fontId="53" fillId="0" borderId="0" xfId="1" applyNumberFormat="1" applyFont="1" applyAlignment="1">
      <alignment horizontal="center" vertical="center"/>
    </xf>
    <xf numFmtId="0" fontId="52" fillId="0" borderId="0" xfId="1" applyFont="1" applyAlignment="1">
      <alignment vertical="center"/>
    </xf>
    <xf numFmtId="49" fontId="52" fillId="2" borderId="1" xfId="1" applyNumberFormat="1" applyFont="1" applyFill="1" applyBorder="1" applyAlignment="1">
      <alignment horizontal="center" vertical="center"/>
    </xf>
    <xf numFmtId="3" fontId="52" fillId="2" borderId="1" xfId="1" applyNumberFormat="1" applyFont="1" applyFill="1" applyBorder="1" applyAlignment="1">
      <alignment vertical="center"/>
    </xf>
    <xf numFmtId="0" fontId="41" fillId="0" borderId="0" xfId="1467" applyFont="1" applyFill="1" applyAlignment="1" applyProtection="1">
      <alignment vertical="center"/>
    </xf>
    <xf numFmtId="49" fontId="42" fillId="0" borderId="27" xfId="6" applyNumberFormat="1" applyFont="1" applyFill="1" applyBorder="1" applyAlignment="1" applyProtection="1">
      <alignment horizontal="left" vertical="center"/>
    </xf>
    <xf numFmtId="49" fontId="42" fillId="0" borderId="27" xfId="6" applyNumberFormat="1" applyFont="1" applyFill="1" applyBorder="1" applyAlignment="1" applyProtection="1">
      <alignment horizontal="left" vertical="center" wrapText="1"/>
    </xf>
    <xf numFmtId="49" fontId="41" fillId="0" borderId="0" xfId="6" applyNumberFormat="1" applyFont="1" applyFill="1" applyBorder="1" applyAlignment="1" applyProtection="1">
      <alignment horizontal="left" vertical="center"/>
    </xf>
    <xf numFmtId="0" fontId="48" fillId="0" borderId="0" xfId="6" applyNumberFormat="1" applyFont="1" applyFill="1" applyBorder="1" applyAlignment="1" applyProtection="1">
      <alignment horizontal="center" vertical="center" wrapText="1"/>
    </xf>
    <xf numFmtId="49" fontId="48" fillId="0" borderId="0" xfId="6" applyNumberFormat="1" applyFont="1" applyFill="1" applyBorder="1" applyAlignment="1" applyProtection="1">
      <alignment horizontal="left" vertical="center" wrapText="1"/>
    </xf>
    <xf numFmtId="3" fontId="42" fillId="0" borderId="0" xfId="6" applyNumberFormat="1" applyFont="1" applyFill="1" applyBorder="1" applyAlignment="1" applyProtection="1">
      <alignment horizontal="right" vertical="center"/>
      <protection locked="0"/>
    </xf>
    <xf numFmtId="3" fontId="48" fillId="0" borderId="0" xfId="6" applyNumberFormat="1" applyFont="1" applyFill="1" applyBorder="1" applyAlignment="1" applyProtection="1">
      <alignment horizontal="right" vertical="center" wrapText="1"/>
      <protection locked="0"/>
    </xf>
    <xf numFmtId="3" fontId="44" fillId="0" borderId="0" xfId="6" applyNumberFormat="1" applyFont="1" applyFill="1" applyBorder="1" applyAlignment="1" applyProtection="1">
      <alignment horizontal="center" vertical="center"/>
      <protection locked="0"/>
    </xf>
    <xf numFmtId="9" fontId="44" fillId="0" borderId="0" xfId="12" applyNumberFormat="1" applyFont="1" applyFill="1" applyBorder="1" applyAlignment="1" applyProtection="1">
      <alignment horizontal="center" vertical="center"/>
      <protection locked="0"/>
    </xf>
    <xf numFmtId="49" fontId="42" fillId="0" borderId="0" xfId="6" applyNumberFormat="1" applyFont="1" applyFill="1" applyBorder="1" applyAlignment="1" applyProtection="1">
      <alignment horizontal="center" vertical="center"/>
    </xf>
    <xf numFmtId="0" fontId="55" fillId="0" borderId="0" xfId="6" applyNumberFormat="1" applyFont="1" applyFill="1" applyBorder="1" applyAlignment="1" applyProtection="1">
      <alignment horizontal="left" vertical="center"/>
    </xf>
    <xf numFmtId="0" fontId="41" fillId="0" borderId="1" xfId="6" applyFont="1" applyBorder="1" applyAlignment="1">
      <alignment horizontal="center" vertical="center"/>
    </xf>
    <xf numFmtId="3" fontId="41" fillId="0" borderId="1" xfId="1"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3" fillId="5" borderId="1" xfId="0" applyNumberFormat="1" applyFont="1" applyFill="1" applyBorder="1" applyAlignment="1">
      <alignment horizontal="center" vertical="center" wrapText="1"/>
    </xf>
    <xf numFmtId="0" fontId="41" fillId="0" borderId="0" xfId="6" applyFont="1"/>
    <xf numFmtId="3" fontId="43" fillId="5" borderId="1" xfId="12" applyNumberFormat="1" applyFont="1" applyFill="1" applyBorder="1" applyAlignment="1">
      <alignment horizontal="center" vertical="center" wrapText="1"/>
    </xf>
    <xf numFmtId="3" fontId="43" fillId="0" borderId="1" xfId="0" applyNumberFormat="1" applyFont="1" applyBorder="1" applyAlignment="1">
      <alignment horizontal="center" vertical="center" wrapText="1"/>
    </xf>
    <xf numFmtId="0" fontId="42" fillId="2" borderId="1" xfId="0" applyFont="1" applyFill="1" applyBorder="1" applyAlignment="1">
      <alignment horizontal="center" vertical="center" wrapText="1"/>
    </xf>
    <xf numFmtId="0" fontId="42" fillId="2" borderId="1" xfId="0" applyFont="1" applyFill="1" applyBorder="1" applyAlignment="1">
      <alignment horizontal="left" vertical="center" wrapText="1"/>
    </xf>
    <xf numFmtId="3" fontId="42" fillId="2" borderId="1" xfId="6" applyNumberFormat="1" applyFont="1" applyFill="1" applyBorder="1" applyAlignment="1">
      <alignment horizontal="right" vertical="center" wrapText="1"/>
    </xf>
    <xf numFmtId="3" fontId="44" fillId="2" borderId="1" xfId="6" applyNumberFormat="1" applyFont="1" applyFill="1" applyBorder="1" applyAlignment="1">
      <alignment horizontal="center" vertical="center" wrapText="1"/>
    </xf>
    <xf numFmtId="9" fontId="44" fillId="2" borderId="1" xfId="12" applyFont="1" applyFill="1" applyBorder="1" applyAlignment="1">
      <alignment horizontal="center" vertical="center" wrapText="1"/>
    </xf>
    <xf numFmtId="0" fontId="41" fillId="0" borderId="1" xfId="6" applyFont="1" applyBorder="1" applyAlignment="1">
      <alignment horizontal="left" vertical="center" wrapText="1"/>
    </xf>
    <xf numFmtId="3" fontId="41" fillId="0" borderId="1" xfId="6" applyNumberFormat="1" applyFont="1" applyBorder="1" applyAlignment="1">
      <alignment horizontal="right" vertical="center" wrapText="1"/>
    </xf>
    <xf numFmtId="3" fontId="43" fillId="0" borderId="1" xfId="6" applyNumberFormat="1" applyFont="1" applyBorder="1" applyAlignment="1">
      <alignment horizontal="center" vertical="center" wrapText="1"/>
    </xf>
    <xf numFmtId="9" fontId="43" fillId="0" borderId="1" xfId="12" applyFont="1" applyBorder="1" applyAlignment="1">
      <alignment horizontal="center" vertical="center" wrapText="1"/>
    </xf>
    <xf numFmtId="0" fontId="41" fillId="0" borderId="1" xfId="6" applyFont="1" applyBorder="1" applyAlignment="1" applyProtection="1">
      <alignment horizontal="center" vertical="center"/>
      <protection locked="0"/>
    </xf>
    <xf numFmtId="0" fontId="41" fillId="0" borderId="1" xfId="6" applyFont="1" applyBorder="1" applyAlignment="1" applyProtection="1">
      <alignment horizontal="left" vertical="center" wrapText="1"/>
      <protection locked="0"/>
    </xf>
    <xf numFmtId="3" fontId="41" fillId="0" borderId="1" xfId="6" applyNumberFormat="1" applyFont="1" applyBorder="1" applyAlignment="1" applyProtection="1">
      <alignment horizontal="right" vertical="center" wrapText="1"/>
      <protection locked="0"/>
    </xf>
    <xf numFmtId="3" fontId="43" fillId="0" borderId="1" xfId="6" applyNumberFormat="1" applyFont="1" applyBorder="1" applyAlignment="1" applyProtection="1">
      <alignment horizontal="center" vertical="center" wrapText="1"/>
      <protection locked="0"/>
    </xf>
    <xf numFmtId="9" fontId="43" fillId="0" borderId="1" xfId="12" applyFont="1" applyBorder="1" applyAlignment="1" applyProtection="1">
      <alignment horizontal="center" vertical="center" wrapText="1"/>
      <protection locked="0"/>
    </xf>
    <xf numFmtId="0" fontId="41" fillId="0" borderId="0" xfId="6" applyFont="1" applyProtection="1">
      <protection locked="0"/>
    </xf>
    <xf numFmtId="0" fontId="41" fillId="7" borderId="1" xfId="0" applyFont="1" applyFill="1" applyBorder="1" applyAlignment="1">
      <alignment horizontal="center" vertical="center" wrapText="1"/>
    </xf>
    <xf numFmtId="0" fontId="41" fillId="7" borderId="1" xfId="0" applyFont="1" applyFill="1" applyBorder="1" applyAlignment="1">
      <alignment horizontal="left" vertical="center" wrapText="1"/>
    </xf>
    <xf numFmtId="0" fontId="41" fillId="7" borderId="10" xfId="0" applyFont="1" applyFill="1" applyBorder="1" applyAlignment="1">
      <alignment horizontal="center" vertical="center" wrapText="1"/>
    </xf>
    <xf numFmtId="0" fontId="41" fillId="7" borderId="10" xfId="0" applyFont="1" applyFill="1" applyBorder="1" applyAlignment="1">
      <alignment horizontal="left" vertical="center" wrapText="1"/>
    </xf>
    <xf numFmtId="3" fontId="41" fillId="0" borderId="1" xfId="6" applyNumberFormat="1" applyFont="1" applyBorder="1" applyAlignment="1" applyProtection="1">
      <alignment horizontal="right" vertical="center"/>
      <protection locked="0"/>
    </xf>
    <xf numFmtId="3" fontId="43" fillId="0" borderId="1" xfId="6" applyNumberFormat="1" applyFont="1" applyBorder="1" applyAlignment="1" applyProtection="1">
      <alignment horizontal="center" vertical="center"/>
      <protection locked="0"/>
    </xf>
    <xf numFmtId="9" fontId="43" fillId="0" borderId="1" xfId="12" applyFont="1" applyBorder="1" applyAlignment="1" applyProtection="1">
      <alignment horizontal="center" vertical="center"/>
      <protection locked="0"/>
    </xf>
    <xf numFmtId="0" fontId="41" fillId="7" borderId="11" xfId="0" applyFont="1" applyFill="1" applyBorder="1" applyAlignment="1">
      <alignment horizontal="center" vertical="center" wrapText="1"/>
    </xf>
    <xf numFmtId="0" fontId="41" fillId="7" borderId="11" xfId="0" applyFont="1" applyFill="1" applyBorder="1" applyAlignment="1">
      <alignment horizontal="left" vertical="center" wrapText="1"/>
    </xf>
    <xf numFmtId="3" fontId="43" fillId="4" borderId="1" xfId="6" applyNumberFormat="1" applyFont="1" applyFill="1" applyBorder="1" applyAlignment="1">
      <alignment horizontal="center" vertical="center" wrapText="1"/>
    </xf>
    <xf numFmtId="9" fontId="43" fillId="4" borderId="1" xfId="12" applyFont="1" applyFill="1" applyBorder="1" applyAlignment="1">
      <alignment horizontal="center" vertical="center" wrapText="1"/>
    </xf>
    <xf numFmtId="0" fontId="41" fillId="7" borderId="10" xfId="0" applyFont="1" applyFill="1" applyBorder="1" applyAlignment="1" applyProtection="1">
      <alignment vertical="center" wrapText="1"/>
      <protection locked="0"/>
    </xf>
    <xf numFmtId="3" fontId="42" fillId="2" borderId="1" xfId="6" applyNumberFormat="1" applyFont="1" applyFill="1" applyBorder="1" applyAlignment="1">
      <alignment horizontal="right"/>
    </xf>
    <xf numFmtId="3" fontId="44" fillId="2" borderId="1" xfId="6" applyNumberFormat="1" applyFont="1" applyFill="1" applyBorder="1" applyAlignment="1">
      <alignment horizontal="center"/>
    </xf>
    <xf numFmtId="9" fontId="44" fillId="2" borderId="1" xfId="12" applyFont="1" applyFill="1" applyBorder="1" applyAlignment="1">
      <alignment horizontal="center"/>
    </xf>
    <xf numFmtId="49" fontId="42" fillId="0" borderId="27" xfId="6" applyNumberFormat="1" applyFont="1" applyBorder="1" applyAlignment="1">
      <alignment horizontal="left"/>
    </xf>
    <xf numFmtId="0" fontId="51" fillId="0" borderId="0" xfId="0" applyFont="1" applyAlignment="1">
      <alignment horizontal="center" vertical="center" wrapText="1"/>
    </xf>
    <xf numFmtId="3" fontId="41" fillId="0" borderId="0" xfId="6" applyNumberFormat="1" applyFont="1"/>
    <xf numFmtId="0" fontId="41" fillId="0" borderId="12" xfId="6" applyFont="1" applyBorder="1"/>
    <xf numFmtId="3" fontId="41" fillId="0" borderId="0" xfId="0" applyNumberFormat="1" applyFont="1" applyAlignment="1">
      <alignment vertical="center"/>
    </xf>
    <xf numFmtId="0" fontId="41" fillId="4" borderId="10" xfId="0" applyFont="1" applyFill="1" applyBorder="1" applyAlignment="1">
      <alignment horizontal="center" vertical="center" wrapText="1"/>
    </xf>
    <xf numFmtId="0" fontId="41" fillId="4" borderId="10" xfId="0" applyFont="1" applyFill="1" applyBorder="1" applyAlignment="1">
      <alignment horizontal="left" vertical="center" wrapText="1"/>
    </xf>
    <xf numFmtId="3" fontId="41" fillId="4" borderId="1" xfId="6" applyNumberFormat="1" applyFont="1" applyFill="1" applyBorder="1" applyAlignment="1">
      <alignment horizontal="right" vertical="center" wrapText="1"/>
    </xf>
    <xf numFmtId="0" fontId="41" fillId="4" borderId="10" xfId="0" applyFont="1" applyFill="1" applyBorder="1" applyAlignment="1">
      <alignment vertical="center" wrapText="1"/>
    </xf>
    <xf numFmtId="3" fontId="47" fillId="0" borderId="1" xfId="6" applyNumberFormat="1" applyFont="1" applyFill="1" applyBorder="1" applyAlignment="1" applyProtection="1">
      <alignment horizontal="center" vertical="center"/>
      <protection locked="0"/>
    </xf>
    <xf numFmtId="9" fontId="47" fillId="0" borderId="1" xfId="12" applyNumberFormat="1" applyFont="1" applyFill="1" applyBorder="1" applyAlignment="1" applyProtection="1">
      <alignment horizontal="center" vertical="center"/>
      <protection locked="0"/>
    </xf>
    <xf numFmtId="3" fontId="47" fillId="0" borderId="1" xfId="1467" applyNumberFormat="1" applyFont="1" applyBorder="1" applyAlignment="1" applyProtection="1">
      <alignment horizontal="center" vertical="center"/>
      <protection locked="0"/>
    </xf>
    <xf numFmtId="3" fontId="46" fillId="6" borderId="1" xfId="1467" applyNumberFormat="1" applyFont="1" applyFill="1" applyBorder="1" applyAlignment="1">
      <alignment horizontal="center" vertical="center"/>
    </xf>
    <xf numFmtId="49" fontId="57" fillId="0" borderId="1" xfId="1" applyNumberFormat="1" applyFont="1" applyBorder="1" applyAlignment="1">
      <alignment horizontal="center" vertical="center"/>
    </xf>
    <xf numFmtId="0" fontId="57" fillId="0" borderId="1" xfId="1" applyFont="1" applyBorder="1" applyAlignment="1">
      <alignment horizontal="center" vertical="center" wrapText="1"/>
    </xf>
    <xf numFmtId="49" fontId="57" fillId="2" borderId="1" xfId="5" applyNumberFormat="1" applyFont="1" applyFill="1" applyBorder="1" applyAlignment="1">
      <alignment horizontal="center" vertical="center"/>
    </xf>
    <xf numFmtId="3" fontId="57" fillId="2" borderId="1" xfId="6" applyNumberFormat="1" applyFont="1" applyFill="1" applyBorder="1" applyAlignment="1">
      <alignment horizontal="left" vertical="center" wrapText="1"/>
    </xf>
    <xf numFmtId="3" fontId="58" fillId="2" borderId="1" xfId="0" applyNumberFormat="1" applyFont="1" applyFill="1" applyBorder="1" applyAlignment="1" applyProtection="1">
      <alignment horizontal="right" vertical="center"/>
      <protection locked="0"/>
    </xf>
    <xf numFmtId="3" fontId="59" fillId="2" borderId="1" xfId="7" applyNumberFormat="1" applyFont="1" applyFill="1" applyBorder="1" applyAlignment="1" applyProtection="1">
      <alignment vertical="center"/>
      <protection locked="0"/>
    </xf>
    <xf numFmtId="3" fontId="58" fillId="2" borderId="1" xfId="5" applyNumberFormat="1" applyFont="1" applyFill="1" applyBorder="1" applyAlignment="1" applyProtection="1">
      <alignment vertical="center"/>
      <protection locked="0"/>
    </xf>
    <xf numFmtId="3" fontId="58" fillId="2" borderId="1" xfId="5" applyNumberFormat="1" applyFont="1" applyFill="1" applyBorder="1" applyAlignment="1" applyProtection="1">
      <alignment vertical="center" wrapText="1"/>
      <protection locked="0"/>
    </xf>
    <xf numFmtId="49" fontId="57" fillId="4" borderId="4" xfId="5" applyNumberFormat="1" applyFont="1" applyFill="1" applyBorder="1" applyAlignment="1">
      <alignment horizontal="center" vertical="center"/>
    </xf>
    <xf numFmtId="3" fontId="57" fillId="4" borderId="4" xfId="6" applyNumberFormat="1" applyFont="1" applyFill="1" applyBorder="1" applyAlignment="1">
      <alignment vertical="center" wrapText="1"/>
    </xf>
    <xf numFmtId="3" fontId="57" fillId="4" borderId="1" xfId="0" applyNumberFormat="1" applyFont="1" applyFill="1" applyBorder="1" applyAlignment="1" applyProtection="1">
      <alignment horizontal="right" vertical="center"/>
      <protection locked="0"/>
    </xf>
    <xf numFmtId="3" fontId="60" fillId="4" borderId="1" xfId="7" applyNumberFormat="1" applyFont="1" applyFill="1" applyBorder="1" applyAlignment="1" applyProtection="1">
      <alignment vertical="center"/>
      <protection locked="0"/>
    </xf>
    <xf numFmtId="3" fontId="57" fillId="4" borderId="1" xfId="5" applyNumberFormat="1" applyFont="1" applyFill="1" applyBorder="1" applyAlignment="1" applyProtection="1">
      <alignment vertical="center"/>
      <protection locked="0"/>
    </xf>
    <xf numFmtId="49" fontId="58" fillId="0" borderId="1" xfId="5" applyNumberFormat="1" applyFont="1" applyBorder="1" applyAlignment="1">
      <alignment horizontal="center" vertical="center"/>
    </xf>
    <xf numFmtId="0" fontId="58" fillId="0" borderId="1" xfId="1" applyFont="1" applyBorder="1" applyAlignment="1">
      <alignment vertical="center"/>
    </xf>
    <xf numFmtId="3" fontId="57" fillId="0" borderId="3" xfId="0" applyNumberFormat="1" applyFont="1" applyBorder="1" applyAlignment="1" applyProtection="1">
      <alignment horizontal="right" vertical="center"/>
      <protection locked="0"/>
    </xf>
    <xf numFmtId="3" fontId="60" fillId="0" borderId="1" xfId="7" applyNumberFormat="1" applyFont="1" applyBorder="1" applyAlignment="1" applyProtection="1">
      <alignment vertical="center"/>
      <protection locked="0"/>
    </xf>
    <xf numFmtId="3" fontId="57" fillId="0" borderId="1" xfId="5" applyNumberFormat="1" applyFont="1" applyBorder="1" applyAlignment="1" applyProtection="1">
      <alignment vertical="center"/>
      <protection locked="0"/>
    </xf>
    <xf numFmtId="3" fontId="58" fillId="0" borderId="3" xfId="0" applyNumberFormat="1" applyFont="1" applyBorder="1" applyAlignment="1" applyProtection="1">
      <alignment horizontal="right" vertical="center"/>
      <protection locked="0"/>
    </xf>
    <xf numFmtId="3" fontId="59" fillId="0" borderId="1" xfId="7" applyNumberFormat="1" applyFont="1" applyBorder="1" applyAlignment="1" applyProtection="1">
      <alignment vertical="center"/>
      <protection locked="0"/>
    </xf>
    <xf numFmtId="3" fontId="58" fillId="0" borderId="1" xfId="5" applyNumberFormat="1" applyFont="1" applyBorder="1" applyAlignment="1" applyProtection="1">
      <alignment vertical="center"/>
      <protection locked="0"/>
    </xf>
    <xf numFmtId="49" fontId="57" fillId="4" borderId="1" xfId="5" applyNumberFormat="1" applyFont="1" applyFill="1" applyBorder="1" applyAlignment="1">
      <alignment horizontal="center" vertical="center"/>
    </xf>
    <xf numFmtId="3" fontId="57" fillId="4" borderId="1" xfId="6" applyNumberFormat="1" applyFont="1" applyFill="1" applyBorder="1" applyAlignment="1">
      <alignment vertical="center" wrapText="1"/>
    </xf>
    <xf numFmtId="3" fontId="58" fillId="0" borderId="1" xfId="6" applyNumberFormat="1" applyFont="1" applyBorder="1" applyAlignment="1">
      <alignment vertical="center" wrapText="1"/>
    </xf>
    <xf numFmtId="3" fontId="58" fillId="0" borderId="1" xfId="0" applyNumberFormat="1" applyFont="1" applyBorder="1" applyAlignment="1" applyProtection="1">
      <alignment horizontal="right" vertical="center"/>
      <protection locked="0"/>
    </xf>
    <xf numFmtId="0" fontId="58" fillId="0" borderId="1" xfId="0" applyFont="1" applyBorder="1" applyAlignment="1">
      <alignment vertical="center" wrapText="1"/>
    </xf>
    <xf numFmtId="3" fontId="57" fillId="0" borderId="1" xfId="0" applyNumberFormat="1" applyFont="1" applyBorder="1" applyAlignment="1" applyProtection="1">
      <alignment horizontal="right" vertical="center"/>
      <protection locked="0"/>
    </xf>
    <xf numFmtId="3" fontId="61" fillId="0" borderId="1" xfId="6" applyNumberFormat="1" applyFont="1" applyBorder="1" applyAlignment="1">
      <alignment vertical="center" wrapText="1"/>
    </xf>
    <xf numFmtId="49" fontId="57" fillId="0" borderId="1" xfId="5" applyNumberFormat="1" applyFont="1" applyBorder="1" applyAlignment="1">
      <alignment horizontal="center" vertical="center"/>
    </xf>
    <xf numFmtId="49" fontId="58" fillId="0" borderId="5" xfId="5" applyNumberFormat="1" applyFont="1" applyBorder="1" applyAlignment="1">
      <alignment horizontal="center" vertical="center"/>
    </xf>
    <xf numFmtId="0" fontId="61" fillId="0" borderId="1" xfId="0" applyFont="1" applyBorder="1" applyAlignment="1">
      <alignment vertical="center" wrapText="1"/>
    </xf>
    <xf numFmtId="0" fontId="53" fillId="0" borderId="1" xfId="1" applyFont="1" applyBorder="1" applyAlignment="1">
      <alignment vertical="center"/>
    </xf>
    <xf numFmtId="3" fontId="57" fillId="4" borderId="7" xfId="6" applyNumberFormat="1" applyFont="1" applyFill="1" applyBorder="1" applyAlignment="1">
      <alignment vertical="center" wrapText="1"/>
    </xf>
    <xf numFmtId="3" fontId="57" fillId="4" borderId="4" xfId="0" applyNumberFormat="1" applyFont="1" applyFill="1" applyBorder="1" applyAlignment="1" applyProtection="1">
      <alignment horizontal="center" vertical="center"/>
      <protection locked="0"/>
    </xf>
    <xf numFmtId="3" fontId="57" fillId="4" borderId="1" xfId="7" applyNumberFormat="1" applyFont="1" applyFill="1" applyBorder="1" applyAlignment="1" applyProtection="1">
      <alignment vertical="center"/>
      <protection locked="0"/>
    </xf>
    <xf numFmtId="49" fontId="61" fillId="0" borderId="1" xfId="5" applyNumberFormat="1" applyFont="1" applyBorder="1" applyAlignment="1">
      <alignment horizontal="center" vertical="center"/>
    </xf>
    <xf numFmtId="3" fontId="57" fillId="0" borderId="1" xfId="7" applyNumberFormat="1" applyFont="1" applyBorder="1" applyAlignment="1" applyProtection="1">
      <alignment vertical="center"/>
      <protection locked="0"/>
    </xf>
    <xf numFmtId="3" fontId="57" fillId="0" borderId="1" xfId="6" applyNumberFormat="1" applyFont="1" applyBorder="1" applyAlignment="1">
      <alignment horizontal="center" vertical="center" wrapText="1"/>
    </xf>
    <xf numFmtId="49" fontId="57" fillId="2" borderId="1" xfId="1" applyNumberFormat="1" applyFont="1" applyFill="1" applyBorder="1" applyAlignment="1">
      <alignment horizontal="center" vertical="center"/>
    </xf>
    <xf numFmtId="3" fontId="57" fillId="2" borderId="1" xfId="6" applyNumberFormat="1" applyFont="1" applyFill="1" applyBorder="1" applyAlignment="1">
      <alignment vertical="center" wrapText="1"/>
    </xf>
    <xf numFmtId="3" fontId="57" fillId="2" borderId="1" xfId="1" applyNumberFormat="1" applyFont="1" applyFill="1" applyBorder="1" applyAlignment="1">
      <alignment horizontal="center" vertical="center"/>
    </xf>
    <xf numFmtId="3" fontId="57" fillId="2" borderId="1" xfId="1" applyNumberFormat="1" applyFont="1" applyFill="1" applyBorder="1" applyAlignment="1">
      <alignment vertical="center"/>
    </xf>
    <xf numFmtId="49" fontId="61" fillId="0" borderId="1" xfId="1" applyNumberFormat="1" applyFont="1" applyBorder="1" applyAlignment="1">
      <alignment horizontal="center" vertical="center"/>
    </xf>
    <xf numFmtId="3" fontId="58" fillId="0" borderId="1" xfId="1" applyNumberFormat="1" applyFont="1" applyBorder="1" applyAlignment="1">
      <alignment vertical="center"/>
    </xf>
    <xf numFmtId="49" fontId="58" fillId="0" borderId="1" xfId="1" applyNumberFormat="1" applyFont="1" applyBorder="1" applyAlignment="1">
      <alignment horizontal="center" vertical="center"/>
    </xf>
    <xf numFmtId="3" fontId="58" fillId="3" borderId="1" xfId="6" applyNumberFormat="1" applyFont="1" applyFill="1" applyBorder="1" applyAlignment="1">
      <alignment vertical="center" wrapText="1"/>
    </xf>
    <xf numFmtId="0" fontId="57" fillId="2" borderId="1" xfId="1" applyFont="1" applyFill="1" applyBorder="1" applyAlignment="1">
      <alignment horizontal="left" vertical="center"/>
    </xf>
    <xf numFmtId="0" fontId="41" fillId="0" borderId="1" xfId="1467" applyFont="1" applyBorder="1" applyAlignment="1">
      <alignment horizontal="center" vertical="center"/>
    </xf>
    <xf numFmtId="3" fontId="41" fillId="3" borderId="1" xfId="6" applyNumberFormat="1" applyFont="1" applyFill="1" applyBorder="1" applyAlignment="1">
      <alignment horizontal="center" vertical="center" wrapText="1"/>
    </xf>
    <xf numFmtId="0" fontId="41" fillId="0" borderId="0" xfId="0" applyFont="1"/>
    <xf numFmtId="0" fontId="41" fillId="0" borderId="1" xfId="0" applyFont="1" applyBorder="1" applyAlignment="1">
      <alignment horizontal="center" vertical="center"/>
    </xf>
    <xf numFmtId="0" fontId="42" fillId="2" borderId="1" xfId="1" applyFont="1" applyFill="1" applyBorder="1" applyAlignment="1">
      <alignment horizontal="left" vertical="center"/>
    </xf>
    <xf numFmtId="3" fontId="41" fillId="2" borderId="1" xfId="6" applyNumberFormat="1" applyFont="1" applyFill="1" applyBorder="1" applyAlignment="1">
      <alignment horizontal="left" vertical="center" wrapText="1"/>
    </xf>
    <xf numFmtId="3" fontId="42" fillId="2" borderId="1" xfId="1" applyNumberFormat="1" applyFont="1" applyFill="1" applyBorder="1" applyAlignment="1">
      <alignment horizontal="right" vertical="center"/>
    </xf>
    <xf numFmtId="3" fontId="44" fillId="2" borderId="1" xfId="1" applyNumberFormat="1" applyFont="1" applyFill="1" applyBorder="1" applyAlignment="1">
      <alignment horizontal="center" vertical="center"/>
    </xf>
    <xf numFmtId="9" fontId="44" fillId="2" borderId="1" xfId="12" applyFont="1" applyFill="1" applyBorder="1" applyAlignment="1">
      <alignment horizontal="center" vertical="center"/>
    </xf>
    <xf numFmtId="0" fontId="41" fillId="3" borderId="1" xfId="1" applyFont="1" applyFill="1" applyBorder="1" applyAlignment="1">
      <alignment horizontal="left" vertical="center"/>
    </xf>
    <xf numFmtId="3" fontId="41" fillId="3" borderId="1" xfId="6" applyNumberFormat="1" applyFont="1" applyFill="1" applyBorder="1" applyAlignment="1">
      <alignment horizontal="left" vertical="center" wrapText="1"/>
    </xf>
    <xf numFmtId="3" fontId="41" fillId="0" borderId="1" xfId="1" applyNumberFormat="1" applyFont="1" applyBorder="1" applyAlignment="1" applyProtection="1">
      <alignment horizontal="right" vertical="center"/>
      <protection locked="0"/>
    </xf>
    <xf numFmtId="3" fontId="43" fillId="0" borderId="1" xfId="1" applyNumberFormat="1" applyFont="1" applyBorder="1" applyAlignment="1" applyProtection="1">
      <alignment horizontal="center" vertical="center"/>
      <protection locked="0"/>
    </xf>
    <xf numFmtId="0" fontId="41" fillId="2" borderId="1" xfId="1" applyFont="1" applyFill="1" applyBorder="1" applyAlignment="1">
      <alignment horizontal="left" vertical="center"/>
    </xf>
    <xf numFmtId="3" fontId="41" fillId="2" borderId="1" xfId="1" applyNumberFormat="1" applyFont="1" applyFill="1" applyBorder="1" applyAlignment="1">
      <alignment horizontal="right" vertical="center"/>
    </xf>
    <xf numFmtId="3" fontId="43" fillId="2" borderId="1" xfId="1" applyNumberFormat="1" applyFont="1" applyFill="1" applyBorder="1" applyAlignment="1">
      <alignment horizontal="center" vertical="center"/>
    </xf>
    <xf numFmtId="9" fontId="43" fillId="2" borderId="1" xfId="12" applyFont="1" applyFill="1" applyBorder="1" applyAlignment="1">
      <alignment horizontal="center" vertical="center"/>
    </xf>
    <xf numFmtId="3" fontId="43" fillId="0" borderId="1" xfId="1" applyNumberFormat="1" applyFont="1" applyBorder="1" applyAlignment="1">
      <alignment horizontal="center" vertical="center"/>
    </xf>
    <xf numFmtId="9" fontId="43" fillId="0" borderId="1" xfId="12" applyFont="1" applyBorder="1" applyAlignment="1">
      <alignment horizontal="center" vertical="center"/>
    </xf>
    <xf numFmtId="3" fontId="42" fillId="2" borderId="1" xfId="6" applyNumberFormat="1" applyFont="1" applyFill="1" applyBorder="1" applyAlignment="1">
      <alignment horizontal="left" vertical="center" wrapText="1"/>
    </xf>
    <xf numFmtId="9" fontId="44" fillId="2" borderId="1" xfId="12" applyFont="1" applyFill="1" applyBorder="1" applyAlignment="1" applyProtection="1">
      <alignment horizontal="center" vertical="center"/>
      <protection locked="0"/>
    </xf>
    <xf numFmtId="9" fontId="43" fillId="3" borderId="1" xfId="12" applyFont="1" applyFill="1" applyBorder="1" applyAlignment="1" applyProtection="1">
      <alignment horizontal="center" vertical="center"/>
      <protection locked="0"/>
    </xf>
    <xf numFmtId="0" fontId="41" fillId="0" borderId="0" xfId="0" applyFont="1" applyAlignment="1" applyProtection="1">
      <alignment horizontal="left"/>
      <protection locked="0"/>
    </xf>
    <xf numFmtId="0" fontId="41" fillId="3" borderId="1" xfId="0" applyFont="1" applyFill="1" applyBorder="1" applyAlignment="1">
      <alignment horizontal="left" vertical="center"/>
    </xf>
    <xf numFmtId="0" fontId="42" fillId="2" borderId="1" xfId="6" applyFont="1" applyFill="1" applyBorder="1" applyAlignment="1">
      <alignment horizontal="left" vertical="center" wrapText="1"/>
    </xf>
    <xf numFmtId="3" fontId="42" fillId="2" borderId="1" xfId="6" applyNumberFormat="1" applyFont="1" applyFill="1" applyBorder="1" applyAlignment="1">
      <alignment horizontal="left" vertical="center"/>
    </xf>
    <xf numFmtId="0" fontId="42" fillId="0" borderId="0" xfId="1" applyFont="1" applyAlignment="1">
      <alignment horizontal="left" vertical="center"/>
    </xf>
    <xf numFmtId="3" fontId="42" fillId="0" borderId="0" xfId="6" applyNumberFormat="1" applyFont="1" applyAlignment="1">
      <alignment horizontal="left" vertical="center"/>
    </xf>
    <xf numFmtId="3" fontId="42" fillId="0" borderId="0" xfId="1" applyNumberFormat="1" applyFont="1" applyAlignment="1">
      <alignment horizontal="right" vertical="center"/>
    </xf>
    <xf numFmtId="3" fontId="44" fillId="0" borderId="0" xfId="1" applyNumberFormat="1" applyFont="1" applyAlignment="1">
      <alignment horizontal="center" vertical="center"/>
    </xf>
    <xf numFmtId="9" fontId="44" fillId="0" borderId="0" xfId="12" applyFont="1" applyAlignment="1">
      <alignment horizontal="center" vertical="center"/>
    </xf>
    <xf numFmtId="0" fontId="41" fillId="0" borderId="0" xfId="1467" applyFont="1" applyAlignment="1">
      <alignment vertical="center"/>
    </xf>
    <xf numFmtId="0" fontId="47" fillId="0" borderId="1" xfId="1467" applyFont="1" applyBorder="1" applyAlignment="1">
      <alignment horizontal="center" vertical="center"/>
    </xf>
    <xf numFmtId="3" fontId="41" fillId="5" borderId="1" xfId="0" applyNumberFormat="1" applyFont="1" applyFill="1" applyBorder="1" applyAlignment="1">
      <alignment horizontal="center" vertical="center" wrapText="1"/>
    </xf>
    <xf numFmtId="0" fontId="47" fillId="0" borderId="1" xfId="1467" applyFont="1" applyBorder="1" applyAlignment="1">
      <alignment vertical="center" wrapText="1"/>
    </xf>
    <xf numFmtId="3" fontId="43" fillId="0" borderId="1" xfId="1467" applyNumberFormat="1" applyFont="1" applyBorder="1" applyAlignment="1" applyProtection="1">
      <alignment horizontal="center" vertical="center"/>
      <protection locked="0"/>
    </xf>
    <xf numFmtId="49" fontId="47" fillId="0" borderId="1" xfId="1467" applyNumberFormat="1" applyFont="1" applyBorder="1" applyAlignment="1" applyProtection="1">
      <alignment horizontal="center" vertical="center"/>
      <protection locked="0"/>
    </xf>
    <xf numFmtId="49" fontId="47" fillId="0" borderId="1" xfId="1467" applyNumberFormat="1" applyFont="1" applyBorder="1" applyAlignment="1" applyProtection="1">
      <alignment horizontal="left" vertical="center" wrapText="1"/>
      <protection locked="0"/>
    </xf>
    <xf numFmtId="0" fontId="46" fillId="6" borderId="1" xfId="1467" applyFont="1" applyFill="1" applyBorder="1" applyAlignment="1">
      <alignment horizontal="center" vertical="center"/>
    </xf>
    <xf numFmtId="0" fontId="46" fillId="6" borderId="1" xfId="1467" applyFont="1" applyFill="1" applyBorder="1" applyAlignment="1">
      <alignment vertical="center" wrapText="1"/>
    </xf>
    <xf numFmtId="3" fontId="44" fillId="6" borderId="1" xfId="1467" applyNumberFormat="1" applyFont="1" applyFill="1" applyBorder="1" applyAlignment="1">
      <alignment horizontal="center" vertical="center"/>
    </xf>
    <xf numFmtId="9" fontId="44" fillId="6" borderId="1" xfId="12" applyFont="1" applyFill="1" applyBorder="1" applyAlignment="1">
      <alignment horizontal="center" vertical="center"/>
    </xf>
    <xf numFmtId="49" fontId="46" fillId="6" borderId="1" xfId="1467" applyNumberFormat="1" applyFont="1" applyFill="1" applyBorder="1" applyAlignment="1">
      <alignment horizontal="center" vertical="center"/>
    </xf>
    <xf numFmtId="0" fontId="46" fillId="0" borderId="0" xfId="1467" applyFont="1" applyAlignment="1">
      <alignment horizontal="center" vertical="center"/>
    </xf>
    <xf numFmtId="0" fontId="46" fillId="0" borderId="0" xfId="1467" applyFont="1" applyAlignment="1">
      <alignment vertical="center" wrapText="1"/>
    </xf>
    <xf numFmtId="3" fontId="46" fillId="0" borderId="0" xfId="1467" applyNumberFormat="1" applyFont="1" applyAlignment="1">
      <alignment horizontal="center" vertical="center"/>
    </xf>
    <xf numFmtId="3" fontId="44" fillId="0" borderId="0" xfId="1467" applyNumberFormat="1" applyFont="1" applyAlignment="1">
      <alignment horizontal="center" vertical="center"/>
    </xf>
    <xf numFmtId="49" fontId="46" fillId="0" borderId="0" xfId="1467" applyNumberFormat="1" applyFont="1" applyAlignment="1">
      <alignment horizontal="center" vertical="center"/>
    </xf>
    <xf numFmtId="0" fontId="40" fillId="0" borderId="0" xfId="1467" applyFont="1" applyAlignment="1">
      <alignment vertical="center"/>
    </xf>
    <xf numFmtId="0" fontId="47" fillId="0" borderId="0" xfId="1467" applyFont="1" applyAlignment="1">
      <alignment horizontal="center" vertical="center"/>
    </xf>
    <xf numFmtId="0" fontId="47" fillId="0" borderId="0" xfId="1467" applyFont="1" applyAlignment="1">
      <alignment vertical="center"/>
    </xf>
    <xf numFmtId="0" fontId="47" fillId="0" borderId="0" xfId="1467" applyFont="1" applyAlignment="1" applyProtection="1">
      <alignment vertical="center"/>
      <protection locked="0"/>
    </xf>
    <xf numFmtId="3" fontId="41" fillId="0" borderId="1" xfId="0" applyNumberFormat="1" applyFont="1" applyBorder="1" applyAlignment="1" applyProtection="1">
      <alignment horizontal="right" vertical="center" wrapText="1"/>
      <protection locked="0"/>
    </xf>
    <xf numFmtId="0" fontId="42" fillId="2" borderId="3" xfId="0" applyFont="1" applyFill="1" applyBorder="1" applyAlignment="1">
      <alignment horizontal="center" vertical="center" wrapText="1"/>
    </xf>
    <xf numFmtId="3" fontId="42" fillId="2" borderId="1" xfId="6" applyNumberFormat="1" applyFont="1" applyFill="1" applyBorder="1" applyAlignment="1">
      <alignment horizontal="center" vertical="center"/>
    </xf>
    <xf numFmtId="0" fontId="42" fillId="32" borderId="3" xfId="6" applyFont="1" applyFill="1" applyBorder="1" applyAlignment="1">
      <alignment horizontal="center" vertical="center" wrapText="1"/>
    </xf>
    <xf numFmtId="3" fontId="42" fillId="32" borderId="1" xfId="6" applyNumberFormat="1" applyFont="1" applyFill="1" applyBorder="1" applyAlignment="1">
      <alignment horizontal="center" vertical="center"/>
    </xf>
    <xf numFmtId="3" fontId="44" fillId="2" borderId="3" xfId="6" applyNumberFormat="1" applyFont="1" applyFill="1" applyBorder="1" applyAlignment="1">
      <alignment horizontal="center" vertical="center"/>
    </xf>
    <xf numFmtId="49" fontId="44" fillId="2" borderId="1" xfId="12" applyNumberFormat="1" applyFont="1" applyFill="1" applyBorder="1" applyAlignment="1">
      <alignment horizontal="left" vertical="center" wrapText="1"/>
    </xf>
    <xf numFmtId="49" fontId="43" fillId="3" borderId="1" xfId="12" applyNumberFormat="1" applyFont="1" applyFill="1" applyBorder="1" applyAlignment="1">
      <alignment horizontal="left" vertical="center"/>
    </xf>
    <xf numFmtId="49" fontId="43" fillId="33" borderId="1" xfId="12" applyNumberFormat="1" applyFont="1" applyFill="1" applyBorder="1" applyAlignment="1">
      <alignment horizontal="left" vertical="center" wrapText="1"/>
    </xf>
    <xf numFmtId="49" fontId="43" fillId="33" borderId="1" xfId="6" applyNumberFormat="1" applyFont="1" applyFill="1" applyBorder="1" applyAlignment="1" applyProtection="1">
      <alignment horizontal="left" vertical="center" wrapText="1"/>
      <protection locked="0"/>
    </xf>
    <xf numFmtId="3" fontId="44" fillId="4" borderId="3" xfId="6" applyNumberFormat="1" applyFont="1" applyFill="1" applyBorder="1" applyAlignment="1">
      <alignment horizontal="center" vertical="center"/>
    </xf>
    <xf numFmtId="49" fontId="43" fillId="0" borderId="1" xfId="12" applyNumberFormat="1" applyFont="1" applyBorder="1" applyAlignment="1">
      <alignment horizontal="left" vertical="center" wrapText="1"/>
    </xf>
    <xf numFmtId="3" fontId="44" fillId="4" borderId="3" xfId="6" applyNumberFormat="1" applyFont="1" applyFill="1" applyBorder="1" applyAlignment="1">
      <alignment horizontal="center" vertical="center" wrapText="1"/>
    </xf>
    <xf numFmtId="49" fontId="43" fillId="0" borderId="2" xfId="0" applyNumberFormat="1" applyFont="1" applyBorder="1" applyAlignment="1" applyProtection="1">
      <alignment horizontal="left" vertical="center" wrapText="1"/>
      <protection locked="0"/>
    </xf>
    <xf numFmtId="49" fontId="43" fillId="0" borderId="1" xfId="6" applyNumberFormat="1" applyFont="1" applyBorder="1" applyAlignment="1" applyProtection="1">
      <alignment horizontal="left" vertical="center" wrapText="1"/>
      <protection locked="0"/>
    </xf>
    <xf numFmtId="49" fontId="65" fillId="33" borderId="1" xfId="12" applyNumberFormat="1" applyFont="1" applyFill="1" applyBorder="1" applyAlignment="1">
      <alignment horizontal="left" vertical="center" wrapText="1"/>
    </xf>
    <xf numFmtId="166" fontId="66" fillId="33" borderId="1" xfId="12" applyNumberFormat="1" applyFont="1" applyFill="1" applyBorder="1" applyAlignment="1" applyProtection="1">
      <alignment horizontal="left" vertical="center" wrapText="1"/>
      <protection locked="0"/>
    </xf>
    <xf numFmtId="49" fontId="56" fillId="33" borderId="1" xfId="6" applyNumberFormat="1" applyFont="1" applyFill="1" applyBorder="1" applyAlignment="1" applyProtection="1">
      <alignment horizontal="left" vertical="center" wrapText="1"/>
      <protection locked="0"/>
    </xf>
    <xf numFmtId="49" fontId="41" fillId="0" borderId="1" xfId="1" applyNumberFormat="1" applyFont="1" applyBorder="1" applyAlignment="1">
      <alignment vertical="center"/>
    </xf>
    <xf numFmtId="49" fontId="41" fillId="0" borderId="27" xfId="1" applyNumberFormat="1" applyFont="1" applyBorder="1" applyAlignment="1">
      <alignment horizontal="left" vertical="center"/>
    </xf>
    <xf numFmtId="49" fontId="41" fillId="0" borderId="0" xfId="1" applyNumberFormat="1" applyFont="1" applyAlignment="1">
      <alignment horizontal="left" vertical="center"/>
    </xf>
    <xf numFmtId="3" fontId="53" fillId="0" borderId="1" xfId="0" applyNumberFormat="1" applyFont="1" applyBorder="1" applyAlignment="1">
      <alignment horizontal="center" vertical="center" wrapText="1"/>
    </xf>
    <xf numFmtId="0" fontId="41" fillId="0" borderId="10" xfId="0" applyFont="1" applyBorder="1" applyAlignment="1" applyProtection="1">
      <alignment horizontal="center" vertical="center" wrapText="1"/>
      <protection locked="0"/>
    </xf>
    <xf numFmtId="0" fontId="41" fillId="0" borderId="10" xfId="0" applyFont="1" applyBorder="1" applyAlignment="1" applyProtection="1">
      <alignment horizontal="left" vertical="center" wrapText="1" indent="1"/>
      <protection locked="0"/>
    </xf>
    <xf numFmtId="0" fontId="41" fillId="0" borderId="10" xfId="0" applyFont="1" applyBorder="1" applyAlignment="1" applyProtection="1">
      <alignment vertical="center" wrapText="1"/>
      <protection locked="0"/>
    </xf>
    <xf numFmtId="0" fontId="41" fillId="0" borderId="10" xfId="0" applyFont="1" applyBorder="1" applyAlignment="1" applyProtection="1">
      <alignment horizontal="left" vertical="center" wrapText="1"/>
      <protection locked="0"/>
    </xf>
    <xf numFmtId="0" fontId="41" fillId="0" borderId="11" xfId="0" applyFont="1" applyBorder="1" applyAlignment="1" applyProtection="1">
      <alignment horizontal="center" vertical="center" wrapText="1"/>
      <protection locked="0"/>
    </xf>
    <xf numFmtId="0" fontId="41" fillId="0" borderId="11" xfId="0" applyFont="1" applyBorder="1" applyAlignment="1" applyProtection="1">
      <alignment horizontal="left" vertical="center" wrapText="1"/>
      <protection locked="0"/>
    </xf>
    <xf numFmtId="0" fontId="42" fillId="0" borderId="0" xfId="0" applyFont="1" applyAlignment="1">
      <alignment horizontal="left" vertical="center" wrapText="1"/>
    </xf>
    <xf numFmtId="3" fontId="57" fillId="4" borderId="1" xfId="0" applyNumberFormat="1" applyFont="1" applyFill="1" applyBorder="1" applyAlignment="1" applyProtection="1">
      <alignment horizontal="center" vertical="center"/>
      <protection locked="0"/>
    </xf>
    <xf numFmtId="3" fontId="69" fillId="0" borderId="1" xfId="0" applyNumberFormat="1" applyFont="1" applyBorder="1" applyAlignment="1" applyProtection="1">
      <alignment vertical="center"/>
      <protection locked="0"/>
    </xf>
    <xf numFmtId="3" fontId="68" fillId="4" borderId="1" xfId="0" applyNumberFormat="1" applyFont="1" applyFill="1" applyBorder="1" applyAlignment="1" applyProtection="1">
      <alignment vertical="center"/>
      <protection locked="0"/>
    </xf>
    <xf numFmtId="3" fontId="58" fillId="0" borderId="1" xfId="0" applyNumberFormat="1" applyFont="1" applyBorder="1" applyAlignment="1" applyProtection="1">
      <alignment horizontal="center" vertical="center"/>
      <protection locked="0"/>
    </xf>
    <xf numFmtId="0" fontId="70" fillId="0" borderId="0" xfId="1" applyFont="1" applyAlignment="1">
      <alignment vertical="center"/>
    </xf>
    <xf numFmtId="3" fontId="58" fillId="0" borderId="1" xfId="7" applyNumberFormat="1" applyFont="1" applyBorder="1" applyAlignment="1" applyProtection="1">
      <alignment vertical="center"/>
      <protection locked="0"/>
    </xf>
    <xf numFmtId="3" fontId="58" fillId="0" borderId="3" xfId="0" applyNumberFormat="1" applyFont="1" applyBorder="1" applyAlignment="1" applyProtection="1">
      <alignment horizontal="center" vertical="center"/>
      <protection locked="0"/>
    </xf>
    <xf numFmtId="3" fontId="69" fillId="0" borderId="3" xfId="0" applyNumberFormat="1" applyFont="1" applyBorder="1" applyAlignment="1" applyProtection="1">
      <alignment horizontal="center" vertical="center"/>
      <protection locked="0"/>
    </xf>
    <xf numFmtId="3" fontId="58" fillId="0" borderId="0" xfId="0" applyNumberFormat="1" applyFont="1" applyAlignment="1">
      <alignment horizontal="center"/>
    </xf>
    <xf numFmtId="3" fontId="69" fillId="0" borderId="1" xfId="1" applyNumberFormat="1" applyFont="1" applyBorder="1" applyAlignment="1">
      <alignment vertical="center"/>
    </xf>
    <xf numFmtId="3" fontId="68" fillId="2" borderId="1" xfId="1" applyNumberFormat="1" applyFont="1" applyFill="1" applyBorder="1" applyAlignment="1">
      <alignment vertical="center"/>
    </xf>
    <xf numFmtId="3" fontId="41" fillId="33" borderId="1" xfId="0" applyNumberFormat="1" applyFont="1" applyFill="1" applyBorder="1" applyAlignment="1" applyProtection="1">
      <alignment horizontal="left" vertical="center" wrapText="1"/>
      <protection locked="0"/>
    </xf>
    <xf numFmtId="0" fontId="64" fillId="0" borderId="7" xfId="0" applyFont="1" applyBorder="1" applyAlignment="1">
      <alignment vertical="center" wrapText="1"/>
    </xf>
    <xf numFmtId="49" fontId="42" fillId="0" borderId="27" xfId="6" applyNumberFormat="1" applyFont="1" applyBorder="1" applyAlignment="1">
      <alignment horizontal="left" vertical="center"/>
    </xf>
    <xf numFmtId="49" fontId="41" fillId="0" borderId="0" xfId="0" applyNumberFormat="1" applyFont="1" applyAlignment="1">
      <alignment horizontal="left" vertical="center"/>
    </xf>
    <xf numFmtId="49" fontId="42" fillId="0" borderId="27" xfId="0" applyNumberFormat="1" applyFont="1" applyBorder="1" applyAlignment="1">
      <alignment horizontal="left" vertical="center"/>
    </xf>
    <xf numFmtId="49" fontId="42" fillId="0" borderId="1" xfId="0" applyNumberFormat="1" applyFont="1" applyBorder="1" applyAlignment="1" applyProtection="1">
      <alignment horizontal="left" vertical="center"/>
      <protection locked="0"/>
    </xf>
    <xf numFmtId="49" fontId="47" fillId="0" borderId="6" xfId="0" applyNumberFormat="1" applyFont="1" applyBorder="1" applyAlignment="1">
      <alignment vertical="center"/>
    </xf>
    <xf numFmtId="49" fontId="42" fillId="0" borderId="27" xfId="6" applyNumberFormat="1" applyFont="1" applyBorder="1" applyAlignment="1">
      <alignment horizontal="left" vertical="center" wrapText="1"/>
    </xf>
    <xf numFmtId="49" fontId="42" fillId="0" borderId="1" xfId="6" applyNumberFormat="1" applyFont="1" applyBorder="1" applyAlignment="1" applyProtection="1">
      <alignment horizontal="left" vertical="center"/>
      <protection locked="0"/>
    </xf>
    <xf numFmtId="49" fontId="41" fillId="0" borderId="1" xfId="6" applyNumberFormat="1" applyFont="1" applyBorder="1" applyAlignment="1" applyProtection="1">
      <alignment horizontal="left" vertical="center"/>
      <protection locked="0"/>
    </xf>
    <xf numFmtId="49" fontId="41" fillId="0" borderId="5" xfId="6" applyNumberFormat="1" applyFont="1" applyBorder="1" applyAlignment="1">
      <alignment horizontal="center" vertical="center"/>
    </xf>
    <xf numFmtId="0" fontId="41" fillId="0" borderId="4" xfId="6" applyFont="1" applyBorder="1" applyAlignment="1">
      <alignment vertical="center" wrapText="1"/>
    </xf>
    <xf numFmtId="3" fontId="41" fillId="0" borderId="4" xfId="6" applyNumberFormat="1" applyFont="1" applyBorder="1" applyAlignment="1">
      <alignment horizontal="right" vertical="center" wrapText="1"/>
    </xf>
    <xf numFmtId="3" fontId="41" fillId="3" borderId="1" xfId="6" applyNumberFormat="1" applyFont="1" applyFill="1" applyBorder="1" applyAlignment="1">
      <alignment horizontal="right" vertical="center"/>
    </xf>
    <xf numFmtId="3" fontId="43" fillId="3" borderId="1" xfId="6" applyNumberFormat="1" applyFont="1" applyFill="1" applyBorder="1" applyAlignment="1">
      <alignment horizontal="center" vertical="center"/>
    </xf>
    <xf numFmtId="9" fontId="43" fillId="3" borderId="1" xfId="12" applyFont="1" applyFill="1" applyBorder="1" applyAlignment="1" applyProtection="1">
      <alignment horizontal="center" vertical="center"/>
    </xf>
    <xf numFmtId="0" fontId="41" fillId="0" borderId="0" xfId="0" applyFont="1" applyAlignment="1">
      <alignment vertical="center"/>
    </xf>
    <xf numFmtId="0" fontId="41" fillId="0" borderId="1" xfId="0" applyFont="1" applyBorder="1" applyAlignment="1">
      <alignment horizontal="left" vertical="center" wrapText="1" indent="2" readingOrder="1"/>
    </xf>
    <xf numFmtId="3" fontId="41" fillId="0" borderId="1" xfId="0" applyNumberFormat="1" applyFont="1" applyBorder="1" applyAlignment="1">
      <alignment horizontal="right" vertical="center" wrapText="1"/>
    </xf>
    <xf numFmtId="49" fontId="41" fillId="0" borderId="5" xfId="6" applyNumberFormat="1" applyFont="1" applyBorder="1" applyAlignment="1">
      <alignment horizontal="right" vertical="center"/>
    </xf>
    <xf numFmtId="0" fontId="43" fillId="0" borderId="1" xfId="0" applyFont="1" applyBorder="1" applyAlignment="1">
      <alignment horizontal="left" vertical="center" wrapText="1" indent="4" readingOrder="1"/>
    </xf>
    <xf numFmtId="0" fontId="41" fillId="0" borderId="6" xfId="0" applyFont="1" applyBorder="1" applyAlignment="1">
      <alignment horizontal="left" vertical="center" wrapText="1" readingOrder="1"/>
    </xf>
    <xf numFmtId="3" fontId="41" fillId="0" borderId="2" xfId="0" applyNumberFormat="1" applyFont="1" applyBorder="1" applyAlignment="1">
      <alignment horizontal="right" vertical="center" wrapText="1"/>
    </xf>
    <xf numFmtId="3" fontId="43" fillId="0" borderId="2" xfId="0" applyNumberFormat="1" applyFont="1" applyBorder="1" applyAlignment="1">
      <alignment horizontal="center" vertical="center" wrapText="1"/>
    </xf>
    <xf numFmtId="3" fontId="43" fillId="0" borderId="2" xfId="0" applyNumberFormat="1" applyFont="1" applyBorder="1" applyAlignment="1" applyProtection="1">
      <alignment horizontal="center" vertical="center" wrapText="1"/>
      <protection locked="0"/>
    </xf>
    <xf numFmtId="9" fontId="43" fillId="0" borderId="2" xfId="12" applyFont="1" applyFill="1" applyBorder="1" applyAlignment="1" applyProtection="1">
      <alignment horizontal="center" vertical="center" wrapText="1"/>
      <protection locked="0"/>
    </xf>
    <xf numFmtId="3" fontId="41" fillId="0" borderId="2" xfId="0" applyNumberFormat="1" applyFont="1" applyBorder="1" applyAlignment="1" applyProtection="1">
      <alignment horizontal="right" vertical="center" wrapText="1"/>
      <protection locked="0"/>
    </xf>
    <xf numFmtId="49" fontId="42" fillId="4" borderId="5" xfId="6" applyNumberFormat="1" applyFont="1" applyFill="1" applyBorder="1" applyAlignment="1">
      <alignment horizontal="center" vertical="center"/>
    </xf>
    <xf numFmtId="0" fontId="42" fillId="4" borderId="6" xfId="0" applyFont="1" applyFill="1" applyBorder="1" applyAlignment="1">
      <alignment horizontal="left" vertical="center" wrapText="1" readingOrder="1"/>
    </xf>
    <xf numFmtId="0" fontId="42" fillId="4" borderId="2" xfId="0" applyFont="1" applyFill="1" applyBorder="1" applyAlignment="1">
      <alignment horizontal="center" vertical="center" wrapText="1"/>
    </xf>
    <xf numFmtId="3" fontId="42" fillId="4" borderId="1" xfId="6" applyNumberFormat="1" applyFont="1" applyFill="1" applyBorder="1" applyAlignment="1">
      <alignment horizontal="center" vertical="center"/>
    </xf>
    <xf numFmtId="49" fontId="41" fillId="3" borderId="1" xfId="6" applyNumberFormat="1" applyFont="1" applyFill="1" applyBorder="1" applyAlignment="1">
      <alignment horizontal="center" vertical="center"/>
    </xf>
    <xf numFmtId="3" fontId="41" fillId="3" borderId="6" xfId="6" applyNumberFormat="1" applyFont="1" applyFill="1" applyBorder="1" applyAlignment="1">
      <alignment vertical="center" wrapText="1"/>
    </xf>
    <xf numFmtId="3" fontId="41" fillId="3" borderId="1" xfId="6" applyNumberFormat="1" applyFont="1" applyFill="1" applyBorder="1" applyAlignment="1">
      <alignment vertical="center" wrapText="1"/>
    </xf>
    <xf numFmtId="49" fontId="41" fillId="0" borderId="1" xfId="6" applyNumberFormat="1" applyFont="1" applyBorder="1" applyAlignment="1">
      <alignment horizontal="center" vertical="center"/>
    </xf>
    <xf numFmtId="3" fontId="41" fillId="0" borderId="1" xfId="6" applyNumberFormat="1" applyFont="1" applyBorder="1" applyAlignment="1">
      <alignment vertical="center" wrapText="1"/>
    </xf>
    <xf numFmtId="9" fontId="43" fillId="0" borderId="1" xfId="12" applyFont="1" applyFill="1" applyBorder="1" applyAlignment="1" applyProtection="1">
      <alignment horizontal="center" vertical="center"/>
    </xf>
    <xf numFmtId="9" fontId="43" fillId="0" borderId="1" xfId="12" applyFont="1" applyFill="1" applyBorder="1" applyAlignment="1" applyProtection="1">
      <alignment horizontal="center" vertical="center"/>
      <protection locked="0"/>
    </xf>
    <xf numFmtId="3" fontId="41" fillId="3" borderId="6" xfId="6" applyNumberFormat="1" applyFont="1" applyFill="1" applyBorder="1" applyAlignment="1">
      <alignment horizontal="left" vertical="center" wrapText="1"/>
    </xf>
    <xf numFmtId="49" fontId="41" fillId="3" borderId="1" xfId="6" applyNumberFormat="1" applyFont="1" applyFill="1" applyBorder="1" applyAlignment="1">
      <alignment horizontal="right" vertical="center"/>
    </xf>
    <xf numFmtId="3" fontId="43" fillId="3" borderId="6" xfId="6" applyNumberFormat="1" applyFont="1" applyFill="1" applyBorder="1" applyAlignment="1">
      <alignment horizontal="left" vertical="center" wrapText="1" indent="2"/>
    </xf>
    <xf numFmtId="3" fontId="41" fillId="0" borderId="6" xfId="0" applyNumberFormat="1" applyFont="1" applyBorder="1" applyAlignment="1" applyProtection="1">
      <alignment horizontal="right" vertical="center" wrapText="1"/>
      <protection locked="0"/>
    </xf>
    <xf numFmtId="49" fontId="42" fillId="4" borderId="1" xfId="6" applyNumberFormat="1" applyFont="1" applyFill="1" applyBorder="1" applyAlignment="1">
      <alignment horizontal="center" vertical="center"/>
    </xf>
    <xf numFmtId="3" fontId="42" fillId="4" borderId="1" xfId="6" applyNumberFormat="1" applyFont="1" applyFill="1" applyBorder="1" applyAlignment="1">
      <alignment vertical="center" wrapText="1"/>
    </xf>
    <xf numFmtId="3" fontId="42" fillId="4" borderId="3" xfId="6" applyNumberFormat="1" applyFont="1" applyFill="1" applyBorder="1" applyAlignment="1">
      <alignment horizontal="center" vertical="center" wrapText="1"/>
    </xf>
    <xf numFmtId="3" fontId="41" fillId="3" borderId="1" xfId="6" applyNumberFormat="1" applyFont="1" applyFill="1" applyBorder="1" applyAlignment="1">
      <alignment horizontal="right" vertical="center" wrapText="1"/>
    </xf>
    <xf numFmtId="3" fontId="41" fillId="3" borderId="1" xfId="0" applyNumberFormat="1" applyFont="1" applyFill="1" applyBorder="1" applyAlignment="1">
      <alignment horizontal="right" vertical="center"/>
    </xf>
    <xf numFmtId="3" fontId="43" fillId="3" borderId="1" xfId="6" applyNumberFormat="1" applyFont="1" applyFill="1" applyBorder="1" applyAlignment="1">
      <alignment horizontal="left" vertical="center" wrapText="1" indent="2"/>
    </xf>
    <xf numFmtId="49" fontId="41" fillId="3" borderId="5" xfId="6" applyNumberFormat="1" applyFont="1" applyFill="1" applyBorder="1" applyAlignment="1">
      <alignment horizontal="center" vertical="center"/>
    </xf>
    <xf numFmtId="3" fontId="43" fillId="0" borderId="4" xfId="6" applyNumberFormat="1" applyFont="1" applyBorder="1" applyAlignment="1">
      <alignment horizontal="left" vertical="center" wrapText="1" indent="2"/>
    </xf>
    <xf numFmtId="3" fontId="41" fillId="0" borderId="9" xfId="6" applyNumberFormat="1" applyFont="1" applyBorder="1" applyAlignment="1" applyProtection="1">
      <alignment horizontal="right" vertical="center" wrapText="1"/>
      <protection locked="0"/>
    </xf>
    <xf numFmtId="9" fontId="43" fillId="3" borderId="3" xfId="12" applyFont="1" applyFill="1" applyBorder="1" applyAlignment="1" applyProtection="1">
      <alignment horizontal="center" vertical="center"/>
    </xf>
    <xf numFmtId="3" fontId="44" fillId="32" borderId="3" xfId="6" applyNumberFormat="1" applyFont="1" applyFill="1" applyBorder="1" applyAlignment="1">
      <alignment horizontal="center" vertical="center"/>
    </xf>
    <xf numFmtId="49" fontId="43" fillId="0" borderId="1" xfId="12" applyNumberFormat="1" applyFont="1" applyFill="1" applyBorder="1" applyAlignment="1">
      <alignment horizontal="left" vertical="center"/>
    </xf>
    <xf numFmtId="49" fontId="43" fillId="0" borderId="1" xfId="12" applyNumberFormat="1" applyFont="1" applyFill="1" applyBorder="1" applyAlignment="1">
      <alignment horizontal="left" vertical="center" wrapText="1"/>
    </xf>
    <xf numFmtId="49" fontId="47" fillId="0" borderId="1" xfId="6" applyNumberFormat="1" applyFont="1" applyFill="1" applyBorder="1" applyAlignment="1" applyProtection="1">
      <alignment horizontal="left" vertical="center" wrapText="1"/>
      <protection locked="0"/>
    </xf>
    <xf numFmtId="3" fontId="41" fillId="0" borderId="1" xfId="0" applyNumberFormat="1" applyFont="1" applyFill="1" applyBorder="1" applyAlignment="1" applyProtection="1">
      <alignment horizontal="left" vertical="center" wrapText="1"/>
      <protection locked="0"/>
    </xf>
    <xf numFmtId="49" fontId="47" fillId="33" borderId="1" xfId="6" applyNumberFormat="1" applyFont="1" applyFill="1" applyBorder="1" applyAlignment="1" applyProtection="1">
      <alignment horizontal="left" vertical="center" wrapText="1"/>
      <protection locked="0"/>
    </xf>
    <xf numFmtId="49" fontId="57" fillId="0" borderId="1" xfId="1" applyNumberFormat="1" applyFont="1" applyFill="1" applyBorder="1" applyAlignment="1">
      <alignment horizontal="center" vertical="center"/>
    </xf>
    <xf numFmtId="3" fontId="58" fillId="0" borderId="1" xfId="6" applyNumberFormat="1" applyFont="1" applyFill="1" applyBorder="1" applyAlignment="1">
      <alignment vertical="center" wrapText="1"/>
    </xf>
    <xf numFmtId="0" fontId="52" fillId="0" borderId="0" xfId="1" applyFont="1" applyFill="1" applyAlignment="1">
      <alignment vertical="center"/>
    </xf>
    <xf numFmtId="49" fontId="61" fillId="0" borderId="1" xfId="1" applyNumberFormat="1" applyFont="1" applyFill="1" applyBorder="1" applyAlignment="1">
      <alignment horizontal="center" vertical="center"/>
    </xf>
    <xf numFmtId="3" fontId="58" fillId="0" borderId="1" xfId="1" applyNumberFormat="1" applyFont="1" applyFill="1" applyBorder="1" applyAlignment="1">
      <alignment horizontal="center" vertical="center"/>
    </xf>
    <xf numFmtId="3" fontId="68" fillId="0" borderId="1" xfId="1" applyNumberFormat="1" applyFont="1" applyFill="1" applyBorder="1" applyAlignment="1">
      <alignment vertical="center"/>
    </xf>
    <xf numFmtId="3" fontId="57" fillId="4" borderId="1" xfId="5" applyNumberFormat="1" applyFont="1" applyFill="1" applyBorder="1" applyAlignment="1" applyProtection="1">
      <alignment vertical="center" wrapText="1"/>
      <protection locked="0"/>
    </xf>
    <xf numFmtId="3" fontId="57" fillId="0" borderId="1" xfId="5" applyNumberFormat="1" applyFont="1" applyBorder="1" applyAlignment="1" applyProtection="1">
      <alignment vertical="center" wrapText="1"/>
      <protection locked="0"/>
    </xf>
    <xf numFmtId="3" fontId="58" fillId="0" borderId="1" xfId="5" applyNumberFormat="1" applyFont="1" applyBorder="1" applyAlignment="1" applyProtection="1">
      <alignment vertical="center" wrapText="1"/>
      <protection locked="0"/>
    </xf>
    <xf numFmtId="0" fontId="61" fillId="0" borderId="1" xfId="0" applyFont="1" applyBorder="1" applyAlignment="1"/>
    <xf numFmtId="3" fontId="58" fillId="0" borderId="1" xfId="0" applyNumberFormat="1" applyFont="1" applyBorder="1" applyAlignment="1">
      <alignment horizontal="center" vertical="center"/>
    </xf>
    <xf numFmtId="3" fontId="69" fillId="0" borderId="3" xfId="0" applyNumberFormat="1" applyFont="1" applyBorder="1" applyAlignment="1" applyProtection="1">
      <alignment vertical="center"/>
      <protection locked="0"/>
    </xf>
    <xf numFmtId="0" fontId="69" fillId="0" borderId="1" xfId="1" applyFont="1" applyBorder="1" applyAlignment="1">
      <alignment horizontal="center" vertical="center"/>
    </xf>
    <xf numFmtId="3" fontId="69" fillId="0" borderId="1" xfId="7" applyNumberFormat="1" applyFont="1" applyBorder="1" applyAlignment="1" applyProtection="1">
      <alignment vertical="center"/>
      <protection locked="0"/>
    </xf>
    <xf numFmtId="3" fontId="69" fillId="0" borderId="1" xfId="5" applyNumberFormat="1" applyFont="1" applyBorder="1" applyAlignment="1" applyProtection="1">
      <alignment vertical="center"/>
      <protection locked="0"/>
    </xf>
    <xf numFmtId="3" fontId="69" fillId="0" borderId="1" xfId="5" applyNumberFormat="1" applyFont="1" applyBorder="1" applyAlignment="1" applyProtection="1">
      <alignment vertical="center" wrapText="1"/>
      <protection locked="0"/>
    </xf>
    <xf numFmtId="3" fontId="69" fillId="3" borderId="1" xfId="6" applyNumberFormat="1" applyFont="1" applyFill="1" applyBorder="1" applyAlignment="1">
      <alignment vertical="center" wrapText="1"/>
    </xf>
    <xf numFmtId="3" fontId="57" fillId="2" borderId="1" xfId="1" applyNumberFormat="1" applyFont="1" applyFill="1" applyBorder="1" applyAlignment="1">
      <alignment vertical="center" wrapText="1"/>
    </xf>
    <xf numFmtId="3" fontId="58" fillId="0" borderId="1" xfId="1" applyNumberFormat="1" applyFont="1" applyBorder="1" applyAlignment="1">
      <alignment vertical="center" wrapText="1"/>
    </xf>
    <xf numFmtId="3" fontId="58" fillId="2" borderId="1" xfId="1" applyNumberFormat="1" applyFont="1" applyFill="1" applyBorder="1" applyAlignment="1">
      <alignment vertical="center" wrapText="1"/>
    </xf>
    <xf numFmtId="3" fontId="68" fillId="0" borderId="1" xfId="6" applyNumberFormat="1" applyFont="1" applyFill="1" applyBorder="1" applyAlignment="1">
      <alignment vertical="center" wrapText="1"/>
    </xf>
    <xf numFmtId="3" fontId="68" fillId="0" borderId="1" xfId="1" applyNumberFormat="1" applyFont="1" applyFill="1" applyBorder="1" applyAlignment="1">
      <alignment horizontal="center" vertical="center"/>
    </xf>
    <xf numFmtId="3" fontId="69" fillId="0" borderId="1" xfId="1" applyNumberFormat="1" applyFont="1" applyFill="1" applyBorder="1" applyAlignment="1">
      <alignment vertical="center" wrapText="1"/>
    </xf>
    <xf numFmtId="3" fontId="52" fillId="2" borderId="1" xfId="1" applyNumberFormat="1" applyFont="1" applyFill="1" applyBorder="1" applyAlignment="1">
      <alignment vertical="center" wrapText="1"/>
    </xf>
    <xf numFmtId="0" fontId="53" fillId="0" borderId="0" xfId="1" applyFont="1" applyAlignment="1">
      <alignment vertical="center" wrapText="1"/>
    </xf>
    <xf numFmtId="3" fontId="58" fillId="0" borderId="6" xfId="6" applyNumberFormat="1" applyFont="1" applyBorder="1" applyAlignment="1">
      <alignment vertical="center" wrapText="1"/>
    </xf>
    <xf numFmtId="0" fontId="41" fillId="4" borderId="11" xfId="0" applyFont="1" applyFill="1" applyBorder="1" applyAlignment="1">
      <alignment horizontal="center" vertical="center" wrapText="1"/>
    </xf>
    <xf numFmtId="0" fontId="41" fillId="4" borderId="11" xfId="0" applyFont="1" applyFill="1" applyBorder="1" applyAlignment="1">
      <alignment horizontal="left" vertical="center" wrapText="1"/>
    </xf>
    <xf numFmtId="49" fontId="70" fillId="0" borderId="27" xfId="6" applyNumberFormat="1" applyFont="1" applyBorder="1" applyAlignment="1">
      <alignment horizontal="left"/>
    </xf>
    <xf numFmtId="0" fontId="71" fillId="0" borderId="0" xfId="6" applyFont="1"/>
    <xf numFmtId="0" fontId="70" fillId="0" borderId="0" xfId="6" applyFont="1"/>
    <xf numFmtId="3" fontId="41" fillId="0" borderId="0" xfId="0" applyNumberFormat="1" applyFont="1" applyProtection="1">
      <protection locked="0"/>
    </xf>
    <xf numFmtId="0" fontId="47" fillId="0" borderId="1" xfId="1467" applyFont="1" applyBorder="1" applyAlignment="1">
      <alignment horizontal="center" vertical="center" wrapText="1"/>
    </xf>
    <xf numFmtId="166" fontId="56" fillId="0" borderId="1" xfId="12" applyNumberFormat="1" applyFont="1" applyFill="1" applyBorder="1" applyAlignment="1" applyProtection="1">
      <alignment vertical="center" wrapText="1"/>
      <protection locked="0"/>
    </xf>
    <xf numFmtId="49" fontId="56" fillId="0" borderId="1" xfId="6" applyNumberFormat="1" applyFont="1" applyFill="1" applyBorder="1" applyAlignment="1" applyProtection="1">
      <alignment horizontal="left" vertical="center" wrapText="1"/>
      <protection locked="0"/>
    </xf>
    <xf numFmtId="49" fontId="42" fillId="2" borderId="5" xfId="6" applyNumberFormat="1" applyFont="1" applyFill="1" applyBorder="1" applyAlignment="1">
      <alignment horizontal="center" vertical="center"/>
    </xf>
    <xf numFmtId="0" fontId="42" fillId="2" borderId="1" xfId="0" applyFont="1" applyFill="1" applyBorder="1" applyAlignment="1">
      <alignment horizontal="left" vertical="center" wrapText="1" readingOrder="1"/>
    </xf>
    <xf numFmtId="49" fontId="42" fillId="2" borderId="1" xfId="6" applyNumberFormat="1" applyFont="1" applyFill="1" applyBorder="1" applyAlignment="1">
      <alignment horizontal="center" vertical="center"/>
    </xf>
    <xf numFmtId="3" fontId="42" fillId="2" borderId="1" xfId="6" applyNumberFormat="1" applyFont="1" applyFill="1" applyBorder="1" applyAlignment="1">
      <alignment vertical="center" wrapText="1"/>
    </xf>
    <xf numFmtId="9" fontId="44" fillId="2" borderId="1" xfId="12" applyFont="1" applyFill="1" applyBorder="1" applyAlignment="1" applyProtection="1">
      <alignment horizontal="center" vertical="center" wrapText="1"/>
    </xf>
    <xf numFmtId="9" fontId="44" fillId="2" borderId="1" xfId="12" applyFont="1" applyFill="1" applyBorder="1" applyAlignment="1" applyProtection="1">
      <alignment horizontal="center" vertical="center" wrapText="1"/>
      <protection locked="0"/>
    </xf>
    <xf numFmtId="0" fontId="41" fillId="3" borderId="1" xfId="6" applyFont="1" applyFill="1" applyBorder="1" applyAlignment="1">
      <alignment vertical="center"/>
    </xf>
    <xf numFmtId="0" fontId="41" fillId="3" borderId="1" xfId="6" applyFont="1" applyFill="1" applyBorder="1" applyAlignment="1">
      <alignment vertical="center" wrapText="1"/>
    </xf>
    <xf numFmtId="3" fontId="45" fillId="2" borderId="1" xfId="6" applyNumberFormat="1" applyFont="1" applyFill="1" applyBorder="1" applyAlignment="1">
      <alignment vertical="center" wrapText="1"/>
    </xf>
    <xf numFmtId="49" fontId="43" fillId="3" borderId="1" xfId="12" applyNumberFormat="1" applyFont="1" applyFill="1" applyBorder="1" applyAlignment="1">
      <alignment horizontal="left" vertical="center" wrapText="1"/>
    </xf>
    <xf numFmtId="49" fontId="42" fillId="32" borderId="1" xfId="6" applyNumberFormat="1" applyFont="1" applyFill="1" applyBorder="1" applyAlignment="1">
      <alignment horizontal="center" vertical="center"/>
    </xf>
    <xf numFmtId="0" fontId="42" fillId="32" borderId="1" xfId="6" applyFont="1" applyFill="1" applyBorder="1" applyAlignment="1">
      <alignment vertical="center" wrapText="1"/>
    </xf>
    <xf numFmtId="49" fontId="43" fillId="33" borderId="1" xfId="0" applyNumberFormat="1" applyFont="1" applyFill="1" applyBorder="1" applyAlignment="1" applyProtection="1">
      <alignment horizontal="left" vertical="center" wrapText="1"/>
      <protection locked="0"/>
    </xf>
    <xf numFmtId="0" fontId="43" fillId="0" borderId="1" xfId="12" applyNumberFormat="1" applyFont="1" applyFill="1" applyBorder="1" applyAlignment="1" applyProtection="1">
      <alignment horizontal="left" vertical="center" wrapText="1"/>
    </xf>
    <xf numFmtId="168" fontId="41" fillId="3" borderId="1" xfId="6" applyNumberFormat="1" applyFont="1" applyFill="1" applyBorder="1" applyAlignment="1" applyProtection="1">
      <alignment horizontal="right" vertical="center"/>
      <protection locked="0"/>
    </xf>
    <xf numFmtId="49" fontId="43" fillId="0" borderId="1" xfId="6" applyNumberFormat="1" applyFont="1" applyFill="1" applyBorder="1" applyAlignment="1" applyProtection="1">
      <alignment horizontal="left" vertical="center" wrapText="1"/>
      <protection locked="0"/>
    </xf>
    <xf numFmtId="49" fontId="41" fillId="33" borderId="1" xfId="6" applyNumberFormat="1" applyFont="1" applyFill="1" applyBorder="1" applyAlignment="1" applyProtection="1">
      <alignment horizontal="left" vertical="center" wrapText="1"/>
      <protection locked="0"/>
    </xf>
    <xf numFmtId="0" fontId="41" fillId="0" borderId="0" xfId="6" applyFont="1" applyAlignment="1">
      <alignment horizontal="left" vertical="center" wrapText="1"/>
    </xf>
    <xf numFmtId="49" fontId="47" fillId="0" borderId="1" xfId="1467" applyNumberFormat="1" applyFont="1" applyBorder="1" applyAlignment="1" applyProtection="1">
      <alignment horizontal="left" vertical="top" wrapText="1"/>
      <protection locked="0"/>
    </xf>
    <xf numFmtId="3" fontId="42" fillId="2" borderId="1" xfId="6" applyNumberFormat="1" applyFont="1" applyFill="1" applyBorder="1" applyAlignment="1">
      <alignment horizontal="center" wrapText="1"/>
    </xf>
    <xf numFmtId="3" fontId="41" fillId="0" borderId="1" xfId="6" applyNumberFormat="1" applyFont="1" applyBorder="1" applyAlignment="1">
      <alignment horizontal="center" wrapText="1"/>
    </xf>
    <xf numFmtId="3" fontId="41" fillId="0" borderId="1" xfId="6" applyNumberFormat="1" applyFont="1" applyBorder="1" applyAlignment="1" applyProtection="1">
      <alignment horizontal="center" wrapText="1"/>
      <protection locked="0"/>
    </xf>
    <xf numFmtId="3" fontId="41" fillId="0" borderId="1" xfId="6" applyNumberFormat="1" applyFont="1" applyBorder="1" applyAlignment="1" applyProtection="1">
      <alignment horizontal="center"/>
      <protection locked="0"/>
    </xf>
    <xf numFmtId="3" fontId="47" fillId="4" borderId="1" xfId="6" applyNumberFormat="1" applyFont="1" applyFill="1" applyBorder="1" applyAlignment="1">
      <alignment horizontal="center" vertical="center" wrapText="1"/>
    </xf>
    <xf numFmtId="3" fontId="47" fillId="0" borderId="1" xfId="6" applyNumberFormat="1" applyFont="1" applyBorder="1" applyAlignment="1" applyProtection="1">
      <alignment horizontal="center" vertical="center"/>
      <protection locked="0"/>
    </xf>
    <xf numFmtId="0" fontId="47" fillId="0" borderId="28" xfId="0" applyFont="1" applyBorder="1" applyAlignment="1">
      <alignment horizontal="center" vertical="center" wrapText="1"/>
    </xf>
    <xf numFmtId="0" fontId="47" fillId="0" borderId="28" xfId="0" applyFont="1" applyBorder="1" applyAlignment="1">
      <alignment wrapText="1"/>
    </xf>
    <xf numFmtId="0" fontId="47" fillId="0" borderId="1" xfId="0" applyFont="1" applyBorder="1" applyAlignment="1">
      <alignment horizontal="center" vertical="center" wrapText="1"/>
    </xf>
    <xf numFmtId="169" fontId="41" fillId="0" borderId="1" xfId="6" applyNumberFormat="1" applyFont="1" applyBorder="1" applyAlignment="1" applyProtection="1">
      <alignment horizontal="center" vertical="center"/>
      <protection locked="0"/>
    </xf>
    <xf numFmtId="0" fontId="41" fillId="7" borderId="11" xfId="0" applyFont="1" applyFill="1" applyBorder="1" applyAlignment="1" applyProtection="1">
      <alignment vertical="center" wrapText="1"/>
      <protection locked="0"/>
    </xf>
    <xf numFmtId="0" fontId="41" fillId="7" borderId="29" xfId="0" applyFont="1" applyFill="1" applyBorder="1" applyAlignment="1" applyProtection="1">
      <alignment horizontal="center" vertical="center" wrapText="1"/>
      <protection locked="0"/>
    </xf>
    <xf numFmtId="0" fontId="41" fillId="7" borderId="1" xfId="0" applyFont="1" applyFill="1" applyBorder="1" applyAlignment="1" applyProtection="1">
      <alignment vertical="center" wrapText="1"/>
      <protection locked="0"/>
    </xf>
    <xf numFmtId="0" fontId="47" fillId="0" borderId="1" xfId="0" applyFont="1" applyBorder="1" applyAlignment="1">
      <alignment wrapText="1"/>
    </xf>
    <xf numFmtId="169" fontId="41" fillId="0" borderId="1" xfId="0" applyNumberFormat="1" applyFont="1" applyBorder="1" applyAlignment="1">
      <alignment horizontal="center" vertical="center" wrapText="1"/>
    </xf>
    <xf numFmtId="0" fontId="47" fillId="7" borderId="1" xfId="0" applyFont="1" applyFill="1" applyBorder="1" applyAlignment="1" applyProtection="1">
      <alignment vertical="center" wrapText="1"/>
      <protection locked="0"/>
    </xf>
    <xf numFmtId="0" fontId="41" fillId="4" borderId="30" xfId="0" applyFont="1" applyFill="1" applyBorder="1" applyAlignment="1">
      <alignment vertical="center" wrapText="1"/>
    </xf>
    <xf numFmtId="3" fontId="41" fillId="4" borderId="1" xfId="6" applyNumberFormat="1" applyFont="1" applyFill="1" applyBorder="1" applyAlignment="1">
      <alignment horizontal="center" wrapText="1"/>
    </xf>
    <xf numFmtId="0" fontId="58" fillId="0" borderId="1" xfId="0" applyFont="1" applyBorder="1"/>
    <xf numFmtId="3" fontId="58" fillId="0" borderId="1" xfId="1" applyNumberFormat="1" applyFont="1" applyBorder="1" applyAlignment="1">
      <alignment horizontal="right"/>
    </xf>
    <xf numFmtId="3" fontId="58" fillId="0" borderId="1" xfId="1" applyNumberFormat="1" applyFont="1" applyBorder="1"/>
    <xf numFmtId="3" fontId="68" fillId="0" borderId="1" xfId="1" applyNumberFormat="1" applyFont="1" applyBorder="1" applyAlignment="1">
      <alignment vertical="center"/>
    </xf>
    <xf numFmtId="3" fontId="69" fillId="0" borderId="5" xfId="1" applyNumberFormat="1" applyFont="1" applyBorder="1" applyAlignment="1">
      <alignment vertical="center"/>
    </xf>
    <xf numFmtId="0" fontId="58" fillId="0" borderId="1" xfId="1" applyFont="1" applyBorder="1" applyAlignment="1">
      <alignment vertical="center" wrapText="1"/>
    </xf>
    <xf numFmtId="0" fontId="61" fillId="0" borderId="28" xfId="0" applyFont="1" applyFill="1" applyBorder="1"/>
    <xf numFmtId="3" fontId="69" fillId="0" borderId="1" xfId="1" applyNumberFormat="1" applyFont="1" applyFill="1" applyBorder="1" applyAlignment="1">
      <alignment vertical="center"/>
    </xf>
    <xf numFmtId="3" fontId="69" fillId="0" borderId="1" xfId="0" applyNumberFormat="1" applyFont="1" applyBorder="1" applyAlignment="1">
      <alignment horizontal="center" vertical="center" wrapText="1"/>
    </xf>
    <xf numFmtId="3" fontId="69" fillId="0" borderId="1" xfId="0" applyNumberFormat="1" applyFont="1" applyBorder="1" applyAlignment="1" applyProtection="1">
      <alignment horizontal="center" vertical="center"/>
      <protection locked="0"/>
    </xf>
    <xf numFmtId="3" fontId="69" fillId="0" borderId="0" xfId="1" applyNumberFormat="1" applyFont="1" applyAlignment="1">
      <alignment horizontal="center"/>
    </xf>
    <xf numFmtId="169" fontId="58" fillId="0" borderId="1" xfId="1" applyNumberFormat="1" applyFont="1" applyBorder="1" applyAlignment="1">
      <alignment horizontal="center"/>
    </xf>
    <xf numFmtId="0" fontId="70" fillId="0" borderId="1" xfId="1" applyFont="1" applyBorder="1" applyAlignment="1">
      <alignment vertical="center"/>
    </xf>
    <xf numFmtId="169" fontId="58" fillId="0" borderId="1" xfId="1" applyNumberFormat="1" applyFont="1" applyBorder="1" applyAlignment="1">
      <alignment horizontal="center" vertical="center"/>
    </xf>
    <xf numFmtId="3" fontId="61" fillId="0" borderId="1" xfId="5" applyNumberFormat="1" applyFont="1" applyBorder="1" applyAlignment="1" applyProtection="1">
      <alignment vertical="center" wrapText="1"/>
      <protection locked="0"/>
    </xf>
    <xf numFmtId="49" fontId="41" fillId="34" borderId="1" xfId="6" applyNumberFormat="1" applyFont="1" applyFill="1" applyBorder="1" applyAlignment="1" applyProtection="1">
      <alignment horizontal="left" vertical="center" wrapText="1"/>
      <protection locked="0"/>
    </xf>
    <xf numFmtId="49" fontId="47" fillId="34" borderId="1" xfId="6" applyNumberFormat="1" applyFont="1" applyFill="1" applyBorder="1" applyAlignment="1" applyProtection="1">
      <alignment horizontal="left" vertical="center" wrapText="1"/>
      <protection locked="0"/>
    </xf>
    <xf numFmtId="0" fontId="64" fillId="34" borderId="4" xfId="0" applyFont="1" applyFill="1" applyBorder="1" applyAlignment="1">
      <alignment vertical="center" wrapText="1"/>
    </xf>
    <xf numFmtId="0" fontId="64" fillId="34" borderId="6" xfId="0" applyFont="1" applyFill="1" applyBorder="1" applyAlignment="1">
      <alignment vertical="center" wrapText="1"/>
    </xf>
    <xf numFmtId="0" fontId="43" fillId="0" borderId="0" xfId="0" applyFont="1" applyFill="1" applyBorder="1" applyAlignment="1" applyProtection="1">
      <alignment horizontal="center" vertical="center"/>
    </xf>
    <xf numFmtId="49" fontId="53" fillId="0" borderId="0" xfId="6" applyNumberFormat="1" applyFont="1" applyFill="1" applyBorder="1" applyAlignment="1">
      <alignment vertical="top" wrapText="1"/>
    </xf>
    <xf numFmtId="0" fontId="41" fillId="0" borderId="0" xfId="0" applyFont="1" applyFill="1" applyBorder="1" applyAlignment="1" applyProtection="1">
      <alignment vertical="center"/>
    </xf>
    <xf numFmtId="3" fontId="42" fillId="0" borderId="1" xfId="6" applyNumberFormat="1" applyFont="1" applyFill="1" applyBorder="1" applyAlignment="1" applyProtection="1">
      <alignment horizontal="right" vertical="center"/>
    </xf>
    <xf numFmtId="3" fontId="41" fillId="0" borderId="1" xfId="0" applyNumberFormat="1" applyFont="1" applyFill="1" applyBorder="1" applyAlignment="1" applyProtection="1">
      <alignment horizontal="right" vertical="center"/>
    </xf>
    <xf numFmtId="3" fontId="41" fillId="0" borderId="1" xfId="0" applyNumberFormat="1" applyFont="1" applyFill="1" applyBorder="1" applyAlignment="1" applyProtection="1">
      <alignment vertical="center"/>
      <protection locked="0"/>
    </xf>
    <xf numFmtId="49" fontId="42" fillId="2" borderId="27" xfId="6" applyNumberFormat="1" applyFont="1" applyFill="1" applyBorder="1" applyAlignment="1" applyProtection="1">
      <alignment horizontal="left" vertical="center"/>
    </xf>
    <xf numFmtId="9" fontId="43" fillId="0" borderId="6" xfId="12" applyNumberFormat="1" applyFont="1" applyBorder="1" applyAlignment="1" applyProtection="1">
      <alignment horizontal="center" vertical="center"/>
    </xf>
    <xf numFmtId="49" fontId="53" fillId="2" borderId="1" xfId="6" applyNumberFormat="1" applyFont="1" applyFill="1" applyBorder="1" applyAlignment="1">
      <alignment vertical="top" wrapText="1"/>
    </xf>
    <xf numFmtId="49" fontId="53" fillId="0" borderId="1" xfId="6" applyNumberFormat="1" applyFont="1" applyFill="1" applyBorder="1" applyAlignment="1">
      <alignment vertical="top" wrapText="1"/>
    </xf>
    <xf numFmtId="3" fontId="42" fillId="2" borderId="4" xfId="6" applyNumberFormat="1" applyFont="1" applyFill="1" applyBorder="1" applyAlignment="1" applyProtection="1">
      <alignment horizontal="right" vertical="center" wrapText="1"/>
    </xf>
    <xf numFmtId="3" fontId="44" fillId="2" borderId="4" xfId="6" applyNumberFormat="1" applyFont="1" applyFill="1" applyBorder="1" applyAlignment="1" applyProtection="1">
      <alignment horizontal="center" vertical="center" wrapText="1"/>
    </xf>
    <xf numFmtId="16" fontId="42" fillId="2" borderId="6" xfId="6" applyNumberFormat="1" applyFont="1" applyFill="1" applyBorder="1" applyAlignment="1" applyProtection="1">
      <alignment vertical="center" wrapText="1"/>
    </xf>
    <xf numFmtId="3" fontId="42" fillId="2" borderId="6" xfId="6" applyNumberFormat="1" applyFont="1" applyFill="1" applyBorder="1" applyAlignment="1" applyProtection="1">
      <alignment horizontal="right" vertical="center" wrapText="1"/>
    </xf>
    <xf numFmtId="3" fontId="44" fillId="2" borderId="6" xfId="6" applyNumberFormat="1" applyFont="1" applyFill="1" applyBorder="1" applyAlignment="1" applyProtection="1">
      <alignment horizontal="center" vertical="center" wrapText="1"/>
    </xf>
    <xf numFmtId="49" fontId="42" fillId="2" borderId="1" xfId="6" applyNumberFormat="1" applyFont="1" applyFill="1" applyBorder="1" applyAlignment="1" applyProtection="1">
      <alignment horizontal="left" vertical="center" wrapText="1"/>
    </xf>
    <xf numFmtId="0" fontId="41" fillId="0" borderId="0" xfId="0" applyFont="1" applyBorder="1" applyAlignment="1" applyProtection="1">
      <alignment vertical="center"/>
    </xf>
    <xf numFmtId="0" fontId="43" fillId="0" borderId="0" xfId="0" applyFont="1" applyBorder="1" applyAlignment="1" applyProtection="1">
      <alignment horizontal="center" vertical="center"/>
    </xf>
    <xf numFmtId="3" fontId="47" fillId="0" borderId="1" xfId="0" applyNumberFormat="1" applyFont="1" applyBorder="1" applyAlignment="1">
      <alignment horizontal="center" vertical="center" wrapText="1"/>
    </xf>
    <xf numFmtId="49" fontId="47" fillId="0" borderId="1" xfId="1467" applyNumberFormat="1" applyFont="1" applyFill="1" applyBorder="1" applyAlignment="1" applyProtection="1">
      <alignment horizontal="center" vertical="center"/>
      <protection locked="0"/>
    </xf>
    <xf numFmtId="3" fontId="41" fillId="0" borderId="1" xfId="1" applyNumberFormat="1" applyFont="1" applyFill="1" applyBorder="1" applyAlignment="1" applyProtection="1">
      <alignment horizontal="right" vertical="center"/>
      <protection locked="0"/>
    </xf>
    <xf numFmtId="49" fontId="41" fillId="34" borderId="1" xfId="1" applyNumberFormat="1" applyFont="1" applyFill="1" applyBorder="1" applyAlignment="1">
      <alignment vertical="center" wrapText="1"/>
    </xf>
    <xf numFmtId="49" fontId="41" fillId="34" borderId="1" xfId="1" applyNumberFormat="1" applyFont="1" applyFill="1" applyBorder="1" applyAlignment="1" applyProtection="1">
      <alignment horizontal="left" vertical="center" wrapText="1"/>
      <protection locked="0"/>
    </xf>
    <xf numFmtId="49" fontId="41" fillId="34" borderId="1" xfId="1" applyNumberFormat="1" applyFont="1" applyFill="1" applyBorder="1" applyAlignment="1" applyProtection="1">
      <alignment vertical="center" wrapText="1"/>
      <protection locked="0"/>
    </xf>
    <xf numFmtId="49" fontId="47" fillId="34" borderId="1" xfId="1467" applyNumberFormat="1" applyFont="1" applyFill="1" applyBorder="1" applyAlignment="1" applyProtection="1">
      <alignment horizontal="left" vertical="center" wrapText="1"/>
      <protection locked="0"/>
    </xf>
    <xf numFmtId="3" fontId="68" fillId="0" borderId="1" xfId="0" applyNumberFormat="1" applyFont="1" applyBorder="1" applyAlignment="1" applyProtection="1">
      <alignment horizontal="center" vertical="center"/>
      <protection locked="0"/>
    </xf>
    <xf numFmtId="3" fontId="72" fillId="2" borderId="1" xfId="1" applyNumberFormat="1" applyFont="1" applyFill="1" applyBorder="1" applyAlignment="1">
      <alignment vertical="center"/>
    </xf>
    <xf numFmtId="3" fontId="58" fillId="0" borderId="1" xfId="1" applyNumberFormat="1" applyFont="1" applyBorder="1" applyAlignment="1">
      <alignment horizontal="center" vertical="center"/>
    </xf>
    <xf numFmtId="3" fontId="57" fillId="2" borderId="1" xfId="0" applyNumberFormat="1" applyFont="1" applyFill="1" applyBorder="1" applyAlignment="1" applyProtection="1">
      <alignment horizontal="center" vertical="center"/>
      <protection locked="0"/>
    </xf>
    <xf numFmtId="3" fontId="57" fillId="4" borderId="4" xfId="0" applyNumberFormat="1" applyFont="1" applyFill="1" applyBorder="1" applyAlignment="1" applyProtection="1">
      <alignment vertical="center"/>
      <protection locked="0"/>
    </xf>
    <xf numFmtId="3" fontId="57" fillId="4" borderId="1" xfId="0" applyNumberFormat="1" applyFont="1" applyFill="1" applyBorder="1" applyAlignment="1" applyProtection="1">
      <alignment vertical="center"/>
      <protection locked="0"/>
    </xf>
    <xf numFmtId="3" fontId="58" fillId="0" borderId="1" xfId="0" applyNumberFormat="1" applyFont="1" applyBorder="1" applyAlignment="1" applyProtection="1">
      <alignment vertical="center"/>
      <protection locked="0"/>
    </xf>
    <xf numFmtId="3" fontId="58" fillId="0" borderId="1" xfId="0" applyNumberFormat="1" applyFont="1" applyBorder="1" applyAlignment="1">
      <alignment horizontal="center" vertical="center" wrapText="1"/>
    </xf>
    <xf numFmtId="169" fontId="58" fillId="0" borderId="1" xfId="0" applyNumberFormat="1" applyFont="1" applyBorder="1" applyAlignment="1">
      <alignment horizontal="center" vertical="center"/>
    </xf>
    <xf numFmtId="0" fontId="53" fillId="0" borderId="1" xfId="0" applyNumberFormat="1" applyFont="1" applyFill="1" applyBorder="1" applyAlignment="1" applyProtection="1">
      <alignment horizontal="center" vertical="center"/>
    </xf>
    <xf numFmtId="3" fontId="53" fillId="0" borderId="1" xfId="0" applyNumberFormat="1" applyFont="1" applyFill="1" applyBorder="1" applyAlignment="1" applyProtection="1">
      <alignment horizontal="center" vertical="center" wrapText="1"/>
    </xf>
    <xf numFmtId="3" fontId="65" fillId="5" borderId="1" xfId="0" applyNumberFormat="1" applyFont="1" applyFill="1" applyBorder="1" applyAlignment="1" applyProtection="1">
      <alignment horizontal="center" vertical="center" wrapText="1"/>
    </xf>
    <xf numFmtId="166" fontId="65" fillId="5" borderId="1" xfId="12" applyNumberFormat="1" applyFont="1" applyFill="1" applyBorder="1" applyAlignment="1" applyProtection="1">
      <alignment horizontal="center" vertical="center" wrapText="1"/>
    </xf>
    <xf numFmtId="3" fontId="65" fillId="0" borderId="1" xfId="0" applyNumberFormat="1" applyFont="1" applyFill="1" applyBorder="1" applyAlignment="1" applyProtection="1">
      <alignment horizontal="center" vertical="center" wrapText="1"/>
    </xf>
    <xf numFmtId="3" fontId="53" fillId="0" borderId="0" xfId="0" applyNumberFormat="1" applyFont="1" applyBorder="1" applyAlignment="1" applyProtection="1">
      <alignment vertical="center"/>
    </xf>
    <xf numFmtId="3" fontId="65" fillId="5" borderId="1" xfId="12" applyNumberFormat="1" applyFont="1" applyFill="1" applyBorder="1" applyAlignment="1" applyProtection="1">
      <alignment horizontal="center" vertical="center" wrapText="1"/>
    </xf>
    <xf numFmtId="0" fontId="52" fillId="2" borderId="1" xfId="0" applyNumberFormat="1" applyFont="1" applyFill="1" applyBorder="1" applyAlignment="1" applyProtection="1">
      <alignment horizontal="center" vertical="center"/>
    </xf>
    <xf numFmtId="3" fontId="52" fillId="2" borderId="1" xfId="0" applyNumberFormat="1" applyFont="1" applyFill="1" applyBorder="1" applyAlignment="1" applyProtection="1">
      <alignment horizontal="center" vertical="center" wrapText="1"/>
    </xf>
    <xf numFmtId="3" fontId="52" fillId="2" borderId="1" xfId="0" applyNumberFormat="1" applyFont="1" applyFill="1" applyBorder="1" applyAlignment="1" applyProtection="1">
      <alignment horizontal="right" vertical="center" wrapText="1"/>
    </xf>
    <xf numFmtId="3" fontId="73" fillId="2" borderId="1" xfId="0" applyNumberFormat="1" applyFont="1" applyFill="1" applyBorder="1" applyAlignment="1" applyProtection="1">
      <alignment horizontal="center" vertical="center" wrapText="1"/>
    </xf>
    <xf numFmtId="166" fontId="73" fillId="2" borderId="1" xfId="12" applyNumberFormat="1" applyFont="1" applyFill="1" applyBorder="1" applyAlignment="1" applyProtection="1">
      <alignment horizontal="center" vertical="center" wrapText="1"/>
    </xf>
    <xf numFmtId="3" fontId="73" fillId="0" borderId="27" xfId="0" applyNumberFormat="1" applyFont="1" applyFill="1" applyBorder="1" applyAlignment="1" applyProtection="1">
      <alignment horizontal="left" vertical="center" wrapText="1"/>
    </xf>
    <xf numFmtId="49" fontId="52" fillId="2" borderId="1" xfId="0" applyNumberFormat="1" applyFont="1" applyFill="1" applyBorder="1" applyAlignment="1" applyProtection="1">
      <alignment horizontal="center" vertical="center"/>
    </xf>
    <xf numFmtId="3" fontId="52" fillId="2" borderId="1" xfId="0" applyNumberFormat="1" applyFont="1" applyFill="1" applyBorder="1" applyAlignment="1" applyProtection="1">
      <alignment horizontal="left" vertical="center" wrapText="1"/>
    </xf>
    <xf numFmtId="3" fontId="52" fillId="0" borderId="0" xfId="0" applyNumberFormat="1" applyFont="1" applyBorder="1" applyAlignment="1" applyProtection="1">
      <alignment vertical="center"/>
    </xf>
    <xf numFmtId="49" fontId="53" fillId="3" borderId="1" xfId="0" applyNumberFormat="1" applyFont="1" applyFill="1" applyBorder="1" applyAlignment="1" applyProtection="1">
      <alignment horizontal="center" vertical="center"/>
    </xf>
    <xf numFmtId="3" fontId="53" fillId="3" borderId="1" xfId="0" applyNumberFormat="1" applyFont="1" applyFill="1" applyBorder="1" applyAlignment="1" applyProtection="1">
      <alignment horizontal="left" vertical="center" wrapText="1"/>
    </xf>
    <xf numFmtId="3" fontId="53" fillId="3" borderId="1" xfId="0" applyNumberFormat="1" applyFont="1" applyFill="1" applyBorder="1" applyAlignment="1" applyProtection="1">
      <alignment horizontal="right" vertical="center" wrapText="1"/>
      <protection locked="0"/>
    </xf>
    <xf numFmtId="3" fontId="65" fillId="3" borderId="1" xfId="0" applyNumberFormat="1" applyFont="1" applyFill="1" applyBorder="1" applyAlignment="1" applyProtection="1">
      <alignment horizontal="center" vertical="center" wrapText="1"/>
      <protection locked="0"/>
    </xf>
    <xf numFmtId="166" fontId="65" fillId="3" borderId="1" xfId="12" applyNumberFormat="1" applyFont="1" applyFill="1" applyBorder="1" applyAlignment="1" applyProtection="1">
      <alignment horizontal="center" vertical="center" wrapText="1"/>
    </xf>
    <xf numFmtId="4" fontId="53" fillId="0" borderId="0" xfId="0" applyNumberFormat="1" applyFont="1" applyBorder="1" applyAlignment="1" applyProtection="1">
      <alignment vertical="center"/>
    </xf>
    <xf numFmtId="3" fontId="53" fillId="0" borderId="1" xfId="0" applyNumberFormat="1" applyFont="1" applyFill="1" applyBorder="1" applyAlignment="1" applyProtection="1">
      <alignment horizontal="left" vertical="center" wrapText="1"/>
    </xf>
    <xf numFmtId="3" fontId="53" fillId="0" borderId="1" xfId="0" applyNumberFormat="1" applyFont="1" applyFill="1" applyBorder="1" applyAlignment="1" applyProtection="1">
      <alignment horizontal="right" vertical="center" wrapText="1"/>
      <protection locked="0"/>
    </xf>
    <xf numFmtId="3" fontId="52" fillId="2" borderId="1" xfId="0" applyNumberFormat="1" applyFont="1" applyFill="1" applyBorder="1" applyAlignment="1" applyProtection="1">
      <alignment horizontal="right" vertical="center" wrapText="1"/>
      <protection locked="0"/>
    </xf>
    <xf numFmtId="3" fontId="73" fillId="0" borderId="1" xfId="0" applyNumberFormat="1" applyFont="1" applyFill="1" applyBorder="1" applyAlignment="1" applyProtection="1">
      <alignment horizontal="left" vertical="center" wrapText="1"/>
      <protection locked="0"/>
    </xf>
    <xf numFmtId="3" fontId="73" fillId="2" borderId="1" xfId="0" applyNumberFormat="1" applyFont="1" applyFill="1" applyBorder="1" applyAlignment="1" applyProtection="1">
      <alignment horizontal="center" vertical="center" wrapText="1"/>
      <protection locked="0"/>
    </xf>
    <xf numFmtId="49" fontId="52" fillId="3" borderId="1" xfId="0" applyNumberFormat="1" applyFont="1" applyFill="1" applyBorder="1" applyAlignment="1" applyProtection="1">
      <alignment horizontal="center" vertical="center"/>
    </xf>
    <xf numFmtId="3" fontId="52" fillId="3" borderId="1" xfId="0" applyNumberFormat="1" applyFont="1" applyFill="1" applyBorder="1" applyAlignment="1" applyProtection="1">
      <alignment horizontal="left" vertical="center" wrapText="1"/>
    </xf>
    <xf numFmtId="3" fontId="52" fillId="3" borderId="1" xfId="0" applyNumberFormat="1" applyFont="1" applyFill="1" applyBorder="1" applyAlignment="1" applyProtection="1">
      <alignment horizontal="right" vertical="center" wrapText="1"/>
      <protection locked="0"/>
    </xf>
    <xf numFmtId="3" fontId="53" fillId="33" borderId="1" xfId="0" applyNumberFormat="1" applyFont="1" applyFill="1" applyBorder="1" applyAlignment="1" applyProtection="1">
      <alignment horizontal="left" vertical="center" wrapText="1"/>
      <protection locked="0"/>
    </xf>
    <xf numFmtId="3" fontId="73" fillId="3" borderId="1" xfId="0" applyNumberFormat="1" applyFont="1" applyFill="1" applyBorder="1" applyAlignment="1" applyProtection="1">
      <alignment horizontal="center" vertical="center" wrapText="1"/>
      <protection locked="0"/>
    </xf>
    <xf numFmtId="166" fontId="73" fillId="3" borderId="1" xfId="12" applyNumberFormat="1" applyFont="1" applyFill="1" applyBorder="1" applyAlignment="1" applyProtection="1">
      <alignment horizontal="center" vertical="center" wrapText="1"/>
    </xf>
    <xf numFmtId="3" fontId="52" fillId="3" borderId="1" xfId="1" applyNumberFormat="1" applyFont="1" applyFill="1" applyBorder="1" applyAlignment="1" applyProtection="1">
      <alignment horizontal="left" vertical="center" wrapText="1"/>
    </xf>
    <xf numFmtId="3" fontId="52" fillId="3" borderId="1" xfId="1" applyNumberFormat="1" applyFont="1" applyFill="1" applyBorder="1" applyAlignment="1" applyProtection="1">
      <alignment horizontal="right" vertical="center" wrapText="1"/>
      <protection locked="0"/>
    </xf>
    <xf numFmtId="3" fontId="53" fillId="0" borderId="1" xfId="0" applyNumberFormat="1" applyFont="1" applyFill="1" applyBorder="1" applyAlignment="1" applyProtection="1">
      <alignment horizontal="left" vertical="center" wrapText="1"/>
      <protection locked="0"/>
    </xf>
    <xf numFmtId="3" fontId="74" fillId="0" borderId="0" xfId="0" applyNumberFormat="1" applyFont="1" applyBorder="1" applyAlignment="1" applyProtection="1">
      <alignment vertical="center"/>
    </xf>
    <xf numFmtId="49" fontId="52" fillId="0" borderId="1" xfId="0" applyNumberFormat="1" applyFont="1" applyFill="1" applyBorder="1" applyAlignment="1" applyProtection="1">
      <alignment horizontal="center" vertical="center"/>
    </xf>
    <xf numFmtId="3" fontId="52" fillId="0" borderId="1" xfId="1" applyNumberFormat="1" applyFont="1" applyFill="1" applyBorder="1" applyAlignment="1" applyProtection="1">
      <alignment horizontal="left" vertical="center" wrapText="1"/>
    </xf>
    <xf numFmtId="3" fontId="52" fillId="0" borderId="1" xfId="1" applyNumberFormat="1" applyFont="1" applyFill="1" applyBorder="1" applyAlignment="1" applyProtection="1">
      <alignment horizontal="right" vertical="center" wrapText="1"/>
      <protection locked="0"/>
    </xf>
    <xf numFmtId="3" fontId="52" fillId="0" borderId="1" xfId="0" applyNumberFormat="1" applyFont="1" applyFill="1" applyBorder="1" applyAlignment="1" applyProtection="1">
      <alignment horizontal="right" vertical="center" wrapText="1"/>
      <protection locked="0"/>
    </xf>
    <xf numFmtId="3" fontId="73" fillId="0" borderId="1" xfId="0" applyNumberFormat="1" applyFont="1" applyFill="1" applyBorder="1" applyAlignment="1" applyProtection="1">
      <alignment horizontal="center" vertical="center" wrapText="1"/>
      <protection locked="0"/>
    </xf>
    <xf numFmtId="166" fontId="73" fillId="0" borderId="1" xfId="12" applyNumberFormat="1" applyFont="1" applyFill="1" applyBorder="1" applyAlignment="1" applyProtection="1">
      <alignment horizontal="center" vertical="center" wrapText="1"/>
    </xf>
    <xf numFmtId="3" fontId="74" fillId="0" borderId="0" xfId="0" applyNumberFormat="1" applyFont="1" applyFill="1" applyBorder="1" applyAlignment="1" applyProtection="1">
      <alignment vertical="center"/>
    </xf>
    <xf numFmtId="3" fontId="52" fillId="2" borderId="1" xfId="0" applyNumberFormat="1" applyFont="1" applyFill="1" applyBorder="1" applyAlignment="1">
      <alignment horizontal="right" vertical="center" wrapText="1"/>
    </xf>
    <xf numFmtId="3" fontId="73" fillId="2" borderId="1" xfId="0" applyNumberFormat="1" applyFont="1" applyFill="1" applyBorder="1" applyAlignment="1">
      <alignment horizontal="center" vertical="center" wrapText="1"/>
    </xf>
    <xf numFmtId="166" fontId="73" fillId="2" borderId="1" xfId="12" applyNumberFormat="1" applyFont="1" applyFill="1" applyBorder="1" applyAlignment="1">
      <alignment horizontal="center" vertical="center" wrapText="1"/>
    </xf>
    <xf numFmtId="3" fontId="73" fillId="0" borderId="27" xfId="0" applyNumberFormat="1" applyFont="1" applyBorder="1" applyAlignment="1">
      <alignment horizontal="left" vertical="center" wrapText="1"/>
    </xf>
    <xf numFmtId="0" fontId="52" fillId="2" borderId="1" xfId="0" applyFont="1" applyFill="1" applyBorder="1" applyAlignment="1" applyProtection="1">
      <alignment vertical="center" wrapText="1"/>
    </xf>
    <xf numFmtId="0" fontId="52" fillId="2" borderId="1" xfId="0" applyFont="1" applyFill="1" applyBorder="1" applyAlignment="1">
      <alignment horizontal="right" vertical="center" wrapText="1"/>
    </xf>
    <xf numFmtId="1" fontId="52" fillId="2" borderId="1" xfId="0" applyNumberFormat="1" applyFont="1" applyFill="1" applyBorder="1" applyAlignment="1">
      <alignment horizontal="right" vertical="center" wrapText="1"/>
    </xf>
    <xf numFmtId="3" fontId="73" fillId="0" borderId="27" xfId="0" applyNumberFormat="1" applyFont="1" applyBorder="1" applyAlignment="1">
      <alignment vertical="center" wrapText="1"/>
    </xf>
    <xf numFmtId="0" fontId="52" fillId="3" borderId="1" xfId="0" applyNumberFormat="1" applyFont="1" applyFill="1" applyBorder="1" applyAlignment="1" applyProtection="1">
      <alignment horizontal="center" vertical="center"/>
    </xf>
    <xf numFmtId="0" fontId="52" fillId="3" borderId="1" xfId="0" applyFont="1" applyFill="1" applyBorder="1" applyAlignment="1" applyProtection="1">
      <alignment vertical="center" wrapText="1"/>
    </xf>
    <xf numFmtId="0" fontId="53" fillId="3" borderId="1" xfId="0" applyFont="1" applyFill="1" applyBorder="1" applyAlignment="1">
      <alignment horizontal="right" vertical="center" wrapText="1"/>
    </xf>
    <xf numFmtId="1" fontId="53" fillId="3" borderId="1" xfId="0" applyNumberFormat="1" applyFont="1" applyFill="1" applyBorder="1" applyAlignment="1">
      <alignment horizontal="right" vertical="center" wrapText="1"/>
    </xf>
    <xf numFmtId="3" fontId="65" fillId="3" borderId="1" xfId="0" applyNumberFormat="1" applyFont="1" applyFill="1" applyBorder="1" applyAlignment="1">
      <alignment horizontal="center" vertical="center" wrapText="1"/>
    </xf>
    <xf numFmtId="166" fontId="65" fillId="3" borderId="1" xfId="12" applyNumberFormat="1" applyFont="1" applyFill="1" applyBorder="1" applyAlignment="1">
      <alignment horizontal="center" vertical="center" wrapText="1"/>
    </xf>
    <xf numFmtId="0" fontId="53" fillId="3" borderId="1" xfId="0" applyNumberFormat="1" applyFont="1" applyFill="1" applyBorder="1" applyAlignment="1" applyProtection="1">
      <alignment horizontal="center" vertical="center"/>
    </xf>
    <xf numFmtId="0" fontId="53" fillId="3" borderId="1" xfId="0" applyFont="1" applyFill="1" applyBorder="1" applyAlignment="1" applyProtection="1">
      <alignment vertical="center" wrapText="1"/>
    </xf>
    <xf numFmtId="0" fontId="53" fillId="3" borderId="1" xfId="0" applyFont="1" applyFill="1" applyBorder="1" applyAlignment="1" applyProtection="1">
      <alignment horizontal="right" vertical="center" wrapText="1"/>
      <protection locked="0"/>
    </xf>
    <xf numFmtId="0" fontId="52" fillId="2" borderId="1" xfId="0" applyFont="1" applyFill="1" applyBorder="1" applyAlignment="1" applyProtection="1">
      <alignment horizontal="left" vertical="center" wrapText="1"/>
    </xf>
    <xf numFmtId="3" fontId="52" fillId="0" borderId="0" xfId="0" applyNumberFormat="1" applyFont="1" applyFill="1" applyBorder="1" applyAlignment="1" applyProtection="1">
      <alignment vertical="center"/>
    </xf>
    <xf numFmtId="0" fontId="53" fillId="3" borderId="1" xfId="0" applyFont="1" applyFill="1" applyBorder="1" applyAlignment="1" applyProtection="1">
      <alignment horizontal="left" vertical="center" wrapText="1"/>
    </xf>
    <xf numFmtId="3" fontId="53" fillId="0" borderId="1" xfId="0" applyNumberFormat="1" applyFont="1" applyBorder="1" applyAlignment="1" applyProtection="1">
      <alignment horizontal="right" vertical="center" wrapText="1"/>
      <protection locked="0"/>
    </xf>
    <xf numFmtId="3" fontId="65" fillId="0" borderId="1" xfId="0" applyNumberFormat="1" applyFont="1" applyBorder="1" applyAlignment="1" applyProtection="1">
      <alignment horizontal="center" vertical="center" wrapText="1"/>
      <protection locked="0"/>
    </xf>
    <xf numFmtId="166" fontId="65" fillId="0" borderId="1" xfId="12" applyNumberFormat="1" applyFont="1" applyBorder="1" applyAlignment="1">
      <alignment horizontal="center" vertical="center" wrapText="1"/>
    </xf>
    <xf numFmtId="0" fontId="52" fillId="3" borderId="1" xfId="0" applyFont="1" applyFill="1" applyBorder="1" applyAlignment="1" applyProtection="1">
      <alignment horizontal="left" vertical="center" wrapText="1"/>
    </xf>
    <xf numFmtId="0" fontId="52" fillId="3" borderId="1" xfId="0" applyFont="1" applyFill="1" applyBorder="1" applyAlignment="1" applyProtection="1">
      <alignment horizontal="right" vertical="center" wrapText="1"/>
      <protection locked="0"/>
    </xf>
    <xf numFmtId="4" fontId="53" fillId="3" borderId="1" xfId="0" applyNumberFormat="1" applyFont="1" applyFill="1" applyBorder="1" applyAlignment="1" applyProtection="1">
      <alignment horizontal="right" vertical="center" wrapText="1"/>
      <protection locked="0"/>
    </xf>
    <xf numFmtId="3" fontId="53" fillId="3" borderId="1" xfId="0" applyNumberFormat="1" applyFont="1" applyFill="1" applyBorder="1" applyAlignment="1" applyProtection="1">
      <alignment horizontal="left" vertical="center" wrapText="1"/>
      <protection locked="0"/>
    </xf>
    <xf numFmtId="0" fontId="52" fillId="3" borderId="1" xfId="0" applyFont="1" applyFill="1" applyBorder="1" applyAlignment="1" applyProtection="1">
      <alignment horizontal="left" vertical="center"/>
    </xf>
    <xf numFmtId="3" fontId="73" fillId="0" borderId="1" xfId="0" applyNumberFormat="1" applyFont="1" applyBorder="1" applyAlignment="1" applyProtection="1">
      <alignment horizontal="left" vertical="center" wrapText="1"/>
      <protection locked="0"/>
    </xf>
    <xf numFmtId="166" fontId="73" fillId="3" borderId="1" xfId="12" applyNumberFormat="1" applyFont="1" applyFill="1" applyBorder="1" applyAlignment="1">
      <alignment horizontal="center" vertical="center" wrapText="1"/>
    </xf>
    <xf numFmtId="3" fontId="53" fillId="33" borderId="1" xfId="0" applyNumberFormat="1" applyFont="1" applyFill="1" applyBorder="1" applyAlignment="1" applyProtection="1">
      <alignment vertical="center" wrapText="1"/>
      <protection locked="0"/>
    </xf>
    <xf numFmtId="0" fontId="53" fillId="2" borderId="1" xfId="0" applyNumberFormat="1" applyFont="1" applyFill="1" applyBorder="1" applyAlignment="1" applyProtection="1">
      <alignment horizontal="center" vertical="center"/>
    </xf>
    <xf numFmtId="0" fontId="53" fillId="2" borderId="1" xfId="0" applyFont="1" applyFill="1" applyBorder="1" applyAlignment="1" applyProtection="1">
      <alignment horizontal="left" vertical="center" wrapText="1"/>
    </xf>
    <xf numFmtId="0" fontId="53" fillId="2" borderId="1" xfId="0" applyFont="1" applyFill="1" applyBorder="1" applyAlignment="1">
      <alignment horizontal="right" vertical="center" wrapText="1"/>
    </xf>
    <xf numFmtId="1" fontId="53" fillId="2" borderId="1" xfId="0" applyNumberFormat="1" applyFont="1" applyFill="1" applyBorder="1" applyAlignment="1">
      <alignment horizontal="right" vertical="center" wrapText="1"/>
    </xf>
    <xf numFmtId="3" fontId="65" fillId="2" borderId="1" xfId="0" applyNumberFormat="1" applyFont="1" applyFill="1" applyBorder="1" applyAlignment="1">
      <alignment horizontal="center" vertical="center" wrapText="1"/>
    </xf>
    <xf numFmtId="166" fontId="65" fillId="2" borderId="1" xfId="12" applyNumberFormat="1" applyFont="1" applyFill="1" applyBorder="1" applyAlignment="1">
      <alignment horizontal="center" vertical="center" wrapText="1"/>
    </xf>
    <xf numFmtId="0" fontId="53" fillId="3" borderId="1" xfId="0" applyFont="1" applyFill="1" applyBorder="1" applyAlignment="1" applyProtection="1">
      <alignment horizontal="left" vertical="center"/>
    </xf>
    <xf numFmtId="0" fontId="73" fillId="2" borderId="1" xfId="0" applyNumberFormat="1" applyFont="1" applyFill="1" applyBorder="1" applyAlignment="1" applyProtection="1">
      <alignment horizontal="center" vertical="center"/>
    </xf>
    <xf numFmtId="3" fontId="73" fillId="0" borderId="0" xfId="0" applyNumberFormat="1" applyFont="1" applyFill="1" applyBorder="1" applyAlignment="1" applyProtection="1">
      <alignment vertical="center"/>
    </xf>
    <xf numFmtId="1" fontId="52" fillId="2" borderId="1" xfId="0" applyNumberFormat="1" applyFont="1" applyFill="1" applyBorder="1" applyAlignment="1" applyProtection="1">
      <alignment horizontal="right" vertical="center" wrapText="1"/>
    </xf>
    <xf numFmtId="0" fontId="52" fillId="2" borderId="1" xfId="0" applyFont="1" applyFill="1" applyBorder="1" applyAlignment="1" applyProtection="1">
      <alignment horizontal="right" vertical="center" wrapText="1"/>
    </xf>
    <xf numFmtId="0" fontId="52" fillId="2" borderId="1" xfId="0" applyFont="1" applyFill="1" applyBorder="1" applyAlignment="1" applyProtection="1">
      <alignment horizontal="left" vertical="center"/>
    </xf>
    <xf numFmtId="1" fontId="52" fillId="2" borderId="1" xfId="0" applyNumberFormat="1" applyFont="1" applyFill="1" applyBorder="1" applyAlignment="1" applyProtection="1">
      <alignment horizontal="right" vertical="center" wrapText="1"/>
      <protection locked="0"/>
    </xf>
    <xf numFmtId="0" fontId="52" fillId="2" borderId="1" xfId="0" applyFont="1" applyFill="1" applyBorder="1" applyAlignment="1" applyProtection="1">
      <alignment horizontal="right" vertical="center" wrapText="1"/>
      <protection locked="0"/>
    </xf>
    <xf numFmtId="3" fontId="73" fillId="0" borderId="1" xfId="0" applyNumberFormat="1" applyFont="1" applyFill="1" applyBorder="1" applyAlignment="1" applyProtection="1">
      <alignment horizontal="center" vertical="center" wrapText="1"/>
    </xf>
    <xf numFmtId="3" fontId="53" fillId="34" borderId="1" xfId="0" applyNumberFormat="1" applyFont="1" applyFill="1" applyBorder="1" applyAlignment="1" applyProtection="1">
      <alignment horizontal="left" vertical="center" wrapText="1"/>
      <protection locked="0"/>
    </xf>
    <xf numFmtId="3" fontId="53" fillId="34" borderId="1" xfId="0" applyNumberFormat="1" applyFont="1" applyFill="1" applyBorder="1" applyAlignment="1" applyProtection="1">
      <alignment vertical="center" wrapText="1"/>
      <protection locked="0"/>
    </xf>
    <xf numFmtId="3" fontId="73" fillId="0" borderId="27" xfId="0" applyNumberFormat="1" applyFont="1" applyFill="1" applyBorder="1" applyAlignment="1">
      <alignment horizontal="left" vertical="center" wrapText="1"/>
    </xf>
    <xf numFmtId="3" fontId="53" fillId="0" borderId="0" xfId="0" applyNumberFormat="1" applyFont="1" applyFill="1" applyBorder="1" applyAlignment="1" applyProtection="1">
      <alignment vertical="center"/>
    </xf>
    <xf numFmtId="0" fontId="52" fillId="0" borderId="1" xfId="0" applyFont="1" applyFill="1" applyBorder="1" applyAlignment="1" applyProtection="1">
      <alignment horizontal="right" vertical="center" wrapText="1"/>
      <protection locked="0"/>
    </xf>
    <xf numFmtId="1" fontId="52" fillId="0" borderId="1" xfId="0" applyNumberFormat="1" applyFont="1" applyFill="1" applyBorder="1" applyAlignment="1" applyProtection="1">
      <alignment horizontal="right" vertical="center" wrapText="1"/>
    </xf>
    <xf numFmtId="0" fontId="53" fillId="0" borderId="1" xfId="0" applyFont="1" applyFill="1" applyBorder="1" applyAlignment="1" applyProtection="1">
      <alignment horizontal="left" vertical="center" wrapText="1"/>
    </xf>
    <xf numFmtId="0" fontId="53" fillId="0" borderId="1" xfId="0" applyFont="1" applyFill="1" applyBorder="1" applyAlignment="1" applyProtection="1">
      <alignment horizontal="right" vertical="center" wrapText="1"/>
      <protection locked="0"/>
    </xf>
    <xf numFmtId="0" fontId="73" fillId="2" borderId="1" xfId="0" applyFont="1" applyFill="1" applyBorder="1" applyAlignment="1" applyProtection="1">
      <alignment horizontal="center" vertical="center" wrapText="1"/>
    </xf>
    <xf numFmtId="1" fontId="53" fillId="3" borderId="1" xfId="0" applyNumberFormat="1" applyFont="1" applyFill="1" applyBorder="1" applyAlignment="1" applyProtection="1">
      <alignment horizontal="right" vertical="center" wrapText="1"/>
      <protection locked="0"/>
    </xf>
    <xf numFmtId="3" fontId="73" fillId="0" borderId="1" xfId="0" applyNumberFormat="1" applyFont="1" applyFill="1" applyBorder="1" applyAlignment="1">
      <alignment vertical="center" wrapText="1"/>
    </xf>
    <xf numFmtId="0" fontId="52" fillId="0" borderId="1" xfId="0" applyFont="1" applyFill="1" applyBorder="1" applyAlignment="1" applyProtection="1">
      <alignment horizontal="left" vertical="center" wrapText="1"/>
    </xf>
    <xf numFmtId="0" fontId="52" fillId="2" borderId="1" xfId="0" applyNumberFormat="1" applyFont="1" applyFill="1" applyBorder="1" applyAlignment="1" applyProtection="1">
      <alignment horizontal="center" vertical="center" wrapText="1"/>
    </xf>
    <xf numFmtId="0" fontId="53" fillId="3" borderId="1" xfId="0" applyNumberFormat="1" applyFont="1" applyFill="1" applyBorder="1" applyAlignment="1" applyProtection="1">
      <alignment horizontal="center" vertical="center" wrapText="1"/>
    </xf>
    <xf numFmtId="3" fontId="53" fillId="0" borderId="0" xfId="4" applyNumberFormat="1" applyFont="1" applyBorder="1" applyAlignment="1" applyProtection="1">
      <alignment vertical="center"/>
    </xf>
    <xf numFmtId="0" fontId="53" fillId="3" borderId="1" xfId="0" applyFont="1" applyFill="1" applyBorder="1" applyAlignment="1" applyProtection="1">
      <alignment vertical="center"/>
    </xf>
    <xf numFmtId="0" fontId="53" fillId="2" borderId="1" xfId="1" applyNumberFormat="1" applyFont="1" applyFill="1" applyBorder="1" applyAlignment="1" applyProtection="1">
      <alignment horizontal="center" vertical="center"/>
    </xf>
    <xf numFmtId="3" fontId="75" fillId="2" borderId="1" xfId="0" applyNumberFormat="1" applyFont="1" applyFill="1" applyBorder="1" applyAlignment="1" applyProtection="1">
      <alignment horizontal="left" vertical="center" wrapText="1"/>
    </xf>
    <xf numFmtId="3" fontId="75" fillId="2" borderId="1" xfId="0" applyNumberFormat="1" applyFont="1" applyFill="1" applyBorder="1" applyAlignment="1" applyProtection="1">
      <alignment horizontal="right" vertical="center" wrapText="1"/>
    </xf>
    <xf numFmtId="0" fontId="52" fillId="0" borderId="1" xfId="1" applyNumberFormat="1" applyFont="1" applyFill="1" applyBorder="1" applyAlignment="1" applyProtection="1">
      <alignment horizontal="center" vertical="center"/>
    </xf>
    <xf numFmtId="3" fontId="65" fillId="0" borderId="1" xfId="0" applyNumberFormat="1" applyFont="1" applyFill="1" applyBorder="1" applyAlignment="1" applyProtection="1">
      <alignment horizontal="left" vertical="center" wrapText="1"/>
      <protection locked="0"/>
    </xf>
    <xf numFmtId="3" fontId="65" fillId="0" borderId="1" xfId="0" applyNumberFormat="1" applyFont="1" applyBorder="1" applyAlignment="1" applyProtection="1">
      <alignment horizontal="left" vertical="center" wrapText="1"/>
      <protection locked="0"/>
    </xf>
    <xf numFmtId="0" fontId="52" fillId="2" borderId="1" xfId="1" applyNumberFormat="1" applyFont="1" applyFill="1" applyBorder="1" applyAlignment="1" applyProtection="1">
      <alignment horizontal="center" vertical="center"/>
    </xf>
    <xf numFmtId="0" fontId="53" fillId="3" borderId="1" xfId="1" applyNumberFormat="1" applyFont="1" applyFill="1" applyBorder="1" applyAlignment="1" applyProtection="1">
      <alignment horizontal="center" vertical="center"/>
    </xf>
    <xf numFmtId="49" fontId="52" fillId="2" borderId="1" xfId="1" applyNumberFormat="1" applyFont="1" applyFill="1" applyBorder="1" applyAlignment="1" applyProtection="1">
      <alignment horizontal="center" vertical="center"/>
    </xf>
    <xf numFmtId="49" fontId="53" fillId="3" borderId="1" xfId="1" applyNumberFormat="1" applyFont="1" applyFill="1" applyBorder="1" applyAlignment="1" applyProtection="1">
      <alignment horizontal="center" vertical="center"/>
    </xf>
    <xf numFmtId="3" fontId="53" fillId="0" borderId="1" xfId="0" applyNumberFormat="1" applyFont="1" applyFill="1" applyBorder="1" applyAlignment="1" applyProtection="1">
      <alignment vertical="center"/>
    </xf>
    <xf numFmtId="3" fontId="53" fillId="0" borderId="1" xfId="0" applyNumberFormat="1" applyFont="1" applyFill="1" applyBorder="1" applyAlignment="1" applyProtection="1">
      <alignment vertical="center" wrapText="1"/>
    </xf>
    <xf numFmtId="0" fontId="52" fillId="0" borderId="1" xfId="0" applyNumberFormat="1" applyFont="1" applyFill="1" applyBorder="1" applyAlignment="1" applyProtection="1">
      <alignment horizontal="center" vertical="center"/>
    </xf>
    <xf numFmtId="3" fontId="52" fillId="0" borderId="1" xfId="0" applyNumberFormat="1" applyFont="1" applyFill="1" applyBorder="1" applyAlignment="1" applyProtection="1">
      <alignment horizontal="left" vertical="center" wrapText="1"/>
    </xf>
    <xf numFmtId="3" fontId="53" fillId="0" borderId="0" xfId="0" applyNumberFormat="1" applyFont="1" applyFill="1" applyBorder="1" applyAlignment="1" applyProtection="1">
      <alignment horizontal="center" vertical="center"/>
    </xf>
    <xf numFmtId="3" fontId="53" fillId="0" borderId="0" xfId="0" applyNumberFormat="1" applyFont="1" applyFill="1" applyBorder="1" applyAlignment="1" applyProtection="1">
      <alignment horizontal="left" vertical="center" wrapText="1"/>
    </xf>
    <xf numFmtId="3" fontId="53" fillId="0" borderId="0" xfId="0" applyNumberFormat="1" applyFont="1" applyBorder="1" applyAlignment="1" applyProtection="1">
      <alignment horizontal="center" vertical="center"/>
    </xf>
    <xf numFmtId="3" fontId="73" fillId="3" borderId="1" xfId="0" applyNumberFormat="1" applyFont="1" applyFill="1" applyBorder="1" applyAlignment="1" applyProtection="1">
      <alignment vertical="center" wrapText="1"/>
    </xf>
    <xf numFmtId="3" fontId="53" fillId="3" borderId="1" xfId="0" applyNumberFormat="1" applyFont="1" applyFill="1" applyBorder="1" applyAlignment="1">
      <alignment vertical="center" wrapText="1"/>
    </xf>
    <xf numFmtId="3" fontId="53" fillId="35" borderId="1" xfId="0" applyNumberFormat="1" applyFont="1" applyFill="1" applyBorder="1" applyAlignment="1">
      <alignment vertical="center" wrapText="1"/>
    </xf>
    <xf numFmtId="3" fontId="53" fillId="0" borderId="4" xfId="0" applyNumberFormat="1" applyFont="1" applyFill="1" applyBorder="1" applyAlignment="1">
      <alignment vertical="center" wrapText="1"/>
    </xf>
    <xf numFmtId="3" fontId="53" fillId="0" borderId="7" xfId="0" applyNumberFormat="1" applyFont="1" applyFill="1" applyBorder="1" applyAlignment="1">
      <alignment vertical="center" wrapText="1"/>
    </xf>
    <xf numFmtId="3" fontId="53" fillId="0" borderId="6" xfId="0" applyNumberFormat="1" applyFont="1" applyFill="1" applyBorder="1" applyAlignment="1">
      <alignment vertical="center" wrapText="1"/>
    </xf>
    <xf numFmtId="3" fontId="70" fillId="34" borderId="1" xfId="0" applyNumberFormat="1" applyFont="1" applyFill="1" applyBorder="1" applyAlignment="1">
      <alignment vertical="center" wrapText="1"/>
    </xf>
    <xf numFmtId="3" fontId="70" fillId="0" borderId="0" xfId="0" applyNumberFormat="1" applyFont="1" applyFill="1" applyBorder="1" applyAlignment="1">
      <alignment vertical="center" wrapText="1"/>
    </xf>
    <xf numFmtId="3" fontId="53" fillId="2" borderId="1" xfId="0" applyNumberFormat="1" applyFont="1" applyFill="1" applyBorder="1" applyAlignment="1">
      <alignment vertical="center" wrapText="1"/>
    </xf>
    <xf numFmtId="3" fontId="53" fillId="0" borderId="1" xfId="0" applyNumberFormat="1" applyFont="1" applyFill="1" applyBorder="1" applyAlignment="1">
      <alignment vertical="center" wrapText="1"/>
    </xf>
    <xf numFmtId="3" fontId="65" fillId="0" borderId="1" xfId="0" applyNumberFormat="1" applyFont="1" applyFill="1" applyBorder="1" applyAlignment="1" applyProtection="1">
      <alignment horizontal="center" vertical="center" wrapText="1"/>
      <protection locked="0"/>
    </xf>
    <xf numFmtId="166" fontId="65" fillId="0" borderId="1" xfId="12" applyNumberFormat="1" applyFont="1" applyFill="1" applyBorder="1" applyAlignment="1" applyProtection="1">
      <alignment horizontal="center" vertical="center" wrapText="1"/>
    </xf>
    <xf numFmtId="3" fontId="53" fillId="34" borderId="1" xfId="0" applyNumberFormat="1" applyFont="1" applyFill="1" applyBorder="1" applyAlignment="1">
      <alignment vertical="center" wrapText="1"/>
    </xf>
    <xf numFmtId="3" fontId="73" fillId="0" borderId="27" xfId="0" applyNumberFormat="1" applyFont="1" applyFill="1" applyBorder="1" applyAlignment="1" applyProtection="1">
      <alignment horizontal="left" vertical="center" wrapText="1"/>
      <protection locked="0"/>
    </xf>
    <xf numFmtId="3" fontId="53" fillId="34" borderId="4" xfId="0" applyNumberFormat="1" applyFont="1" applyFill="1" applyBorder="1" applyAlignment="1">
      <alignment vertical="center" wrapText="1"/>
    </xf>
    <xf numFmtId="0" fontId="53" fillId="34" borderId="1" xfId="0" applyFont="1" applyFill="1" applyBorder="1" applyAlignment="1">
      <alignment horizontal="justify" vertical="center"/>
    </xf>
    <xf numFmtId="3" fontId="52" fillId="0" borderId="1" xfId="0" applyNumberFormat="1" applyFont="1" applyFill="1" applyBorder="1" applyAlignment="1" applyProtection="1">
      <alignment vertical="center"/>
    </xf>
    <xf numFmtId="0" fontId="52" fillId="0" borderId="1" xfId="0" applyFont="1" applyBorder="1" applyAlignment="1">
      <alignment horizontal="justify" vertical="center"/>
    </xf>
    <xf numFmtId="0" fontId="70" fillId="34" borderId="1" xfId="0" applyFont="1" applyFill="1" applyBorder="1" applyAlignment="1">
      <alignment vertical="center" wrapText="1"/>
    </xf>
    <xf numFmtId="0" fontId="53" fillId="34" borderId="1" xfId="0" applyFont="1" applyFill="1" applyBorder="1" applyAlignment="1">
      <alignment vertical="center" wrapText="1"/>
    </xf>
    <xf numFmtId="0" fontId="53" fillId="34" borderId="1" xfId="0" applyFont="1" applyFill="1" applyBorder="1" applyAlignment="1">
      <alignment horizontal="left" vertical="center" wrapText="1"/>
    </xf>
    <xf numFmtId="3" fontId="73" fillId="0" borderId="1" xfId="0" applyNumberFormat="1" applyFont="1" applyFill="1" applyBorder="1" applyAlignment="1" applyProtection="1">
      <alignment vertical="center"/>
    </xf>
    <xf numFmtId="3" fontId="53" fillId="34" borderId="7" xfId="0" applyNumberFormat="1" applyFont="1" applyFill="1" applyBorder="1" applyAlignment="1">
      <alignment vertical="center" wrapText="1"/>
    </xf>
    <xf numFmtId="3" fontId="73" fillId="0" borderId="4" xfId="0" applyNumberFormat="1" applyFont="1" applyFill="1" applyBorder="1" applyAlignment="1">
      <alignment horizontal="center" vertical="center" wrapText="1"/>
    </xf>
    <xf numFmtId="3" fontId="73" fillId="0" borderId="7" xfId="0" applyNumberFormat="1" applyFont="1" applyFill="1" applyBorder="1" applyAlignment="1">
      <alignment horizontal="center" vertical="center" wrapText="1"/>
    </xf>
    <xf numFmtId="3" fontId="73" fillId="0" borderId="6" xfId="0" applyNumberFormat="1" applyFont="1" applyFill="1" applyBorder="1" applyAlignment="1">
      <alignment horizontal="center" vertical="center" wrapText="1"/>
    </xf>
    <xf numFmtId="3" fontId="53" fillId="34" borderId="4" xfId="0" applyNumberFormat="1" applyFont="1" applyFill="1" applyBorder="1" applyAlignment="1">
      <alignment horizontal="left" vertical="center" wrapText="1"/>
    </xf>
    <xf numFmtId="3" fontId="53" fillId="34" borderId="7" xfId="0" applyNumberFormat="1" applyFont="1" applyFill="1" applyBorder="1" applyAlignment="1">
      <alignment horizontal="left" vertical="center" wrapText="1"/>
    </xf>
    <xf numFmtId="3" fontId="53" fillId="34" borderId="6" xfId="0" applyNumberFormat="1" applyFont="1" applyFill="1" applyBorder="1" applyAlignment="1">
      <alignment horizontal="left" vertical="center" wrapText="1"/>
    </xf>
    <xf numFmtId="0" fontId="53" fillId="34" borderId="4" xfId="0" applyFont="1" applyFill="1" applyBorder="1" applyAlignment="1">
      <alignment horizontal="left" vertical="center" wrapText="1"/>
    </xf>
    <xf numFmtId="0" fontId="53" fillId="34" borderId="7" xfId="0" applyFont="1" applyFill="1" applyBorder="1" applyAlignment="1">
      <alignment horizontal="left" vertical="center" wrapText="1"/>
    </xf>
    <xf numFmtId="0" fontId="53" fillId="34" borderId="6" xfId="0" applyFont="1" applyFill="1" applyBorder="1" applyAlignment="1">
      <alignment horizontal="left" vertical="center" wrapText="1"/>
    </xf>
    <xf numFmtId="3" fontId="35" fillId="34" borderId="4" xfId="0" applyNumberFormat="1" applyFont="1" applyFill="1" applyBorder="1" applyAlignment="1">
      <alignment horizontal="left" vertical="center" wrapText="1"/>
    </xf>
    <xf numFmtId="3" fontId="35" fillId="34" borderId="7" xfId="0" applyNumberFormat="1" applyFont="1" applyFill="1" applyBorder="1" applyAlignment="1">
      <alignment horizontal="left" vertical="center" wrapText="1"/>
    </xf>
    <xf numFmtId="3" fontId="35" fillId="34" borderId="6" xfId="0" applyNumberFormat="1" applyFont="1" applyFill="1" applyBorder="1" applyAlignment="1">
      <alignment horizontal="left" vertical="center" wrapText="1"/>
    </xf>
    <xf numFmtId="3" fontId="73" fillId="0" borderId="4" xfId="0" applyNumberFormat="1" applyFont="1" applyBorder="1" applyAlignment="1">
      <alignment horizontal="center" vertical="center" wrapText="1"/>
    </xf>
    <xf numFmtId="3" fontId="73" fillId="0" borderId="7" xfId="0" applyNumberFormat="1" applyFont="1" applyBorder="1" applyAlignment="1">
      <alignment horizontal="center" vertical="center" wrapText="1"/>
    </xf>
    <xf numFmtId="3" fontId="73" fillId="0" borderId="6" xfId="0" applyNumberFormat="1" applyFont="1" applyBorder="1" applyAlignment="1">
      <alignment horizontal="center" vertical="center" wrapText="1"/>
    </xf>
    <xf numFmtId="0" fontId="53" fillId="34" borderId="4" xfId="0" applyFont="1" applyFill="1" applyBorder="1" applyAlignment="1">
      <alignment horizontal="center" vertical="center" wrapText="1"/>
    </xf>
    <xf numFmtId="0" fontId="53" fillId="34" borderId="6" xfId="0" applyFont="1" applyFill="1" applyBorder="1" applyAlignment="1">
      <alignment horizontal="center" vertical="center" wrapText="1"/>
    </xf>
    <xf numFmtId="3" fontId="53" fillId="0" borderId="0" xfId="0" applyNumberFormat="1" applyFont="1" applyFill="1" applyBorder="1" applyAlignment="1" applyProtection="1">
      <alignment horizontal="left" vertical="center" wrapText="1"/>
    </xf>
    <xf numFmtId="3" fontId="73" fillId="0" borderId="4" xfId="0" applyNumberFormat="1" applyFont="1" applyFill="1" applyBorder="1" applyAlignment="1" applyProtection="1">
      <alignment horizontal="center" vertical="center" wrapText="1"/>
    </xf>
    <xf numFmtId="3" fontId="73" fillId="0" borderId="7" xfId="0" applyNumberFormat="1" applyFont="1" applyFill="1" applyBorder="1" applyAlignment="1" applyProtection="1">
      <alignment horizontal="center" vertical="center" wrapText="1"/>
    </xf>
    <xf numFmtId="3" fontId="73" fillId="0" borderId="6" xfId="0" applyNumberFormat="1" applyFont="1" applyFill="1" applyBorder="1" applyAlignment="1" applyProtection="1">
      <alignment horizontal="center" vertical="center" wrapText="1"/>
    </xf>
    <xf numFmtId="49" fontId="53" fillId="33" borderId="4" xfId="6" applyNumberFormat="1" applyFont="1" applyFill="1" applyBorder="1" applyAlignment="1" applyProtection="1">
      <alignment horizontal="left" vertical="center" wrapText="1"/>
    </xf>
    <xf numFmtId="49" fontId="53" fillId="33" borderId="7" xfId="6" applyNumberFormat="1" applyFont="1" applyFill="1" applyBorder="1" applyAlignment="1" applyProtection="1">
      <alignment horizontal="left" vertical="center" wrapText="1"/>
    </xf>
    <xf numFmtId="49" fontId="53" fillId="33" borderId="6" xfId="6" applyNumberFormat="1" applyFont="1" applyFill="1" applyBorder="1" applyAlignment="1" applyProtection="1">
      <alignment horizontal="left" vertical="center" wrapText="1"/>
    </xf>
    <xf numFmtId="3" fontId="53" fillId="33" borderId="4" xfId="0" applyNumberFormat="1" applyFont="1" applyFill="1" applyBorder="1" applyAlignment="1" applyProtection="1">
      <alignment horizontal="left" vertical="center" wrapText="1"/>
    </xf>
    <xf numFmtId="3" fontId="53" fillId="33" borderId="7" xfId="0" applyNumberFormat="1" applyFont="1" applyFill="1" applyBorder="1" applyAlignment="1" applyProtection="1">
      <alignment horizontal="left" vertical="center" wrapText="1"/>
    </xf>
    <xf numFmtId="3" fontId="53" fillId="33" borderId="6" xfId="0" applyNumberFormat="1" applyFont="1" applyFill="1" applyBorder="1" applyAlignment="1" applyProtection="1">
      <alignment horizontal="left" vertical="center" wrapText="1"/>
    </xf>
    <xf numFmtId="3" fontId="53" fillId="33" borderId="4" xfId="0" applyNumberFormat="1" applyFont="1" applyFill="1" applyBorder="1" applyAlignment="1">
      <alignment horizontal="left" vertical="center" wrapText="1"/>
    </xf>
    <xf numFmtId="3" fontId="53" fillId="33" borderId="7" xfId="0" applyNumberFormat="1" applyFont="1" applyFill="1" applyBorder="1" applyAlignment="1">
      <alignment horizontal="left" vertical="center" wrapText="1"/>
    </xf>
    <xf numFmtId="3" fontId="53" fillId="33" borderId="6" xfId="0" applyNumberFormat="1" applyFont="1" applyFill="1" applyBorder="1" applyAlignment="1">
      <alignment horizontal="left" vertical="center" wrapText="1"/>
    </xf>
    <xf numFmtId="3" fontId="73" fillId="34" borderId="7" xfId="0" applyNumberFormat="1" applyFont="1" applyFill="1" applyBorder="1" applyAlignment="1">
      <alignment horizontal="left" vertical="center" wrapText="1"/>
    </xf>
    <xf numFmtId="3" fontId="73" fillId="34" borderId="6" xfId="0" applyNumberFormat="1" applyFont="1" applyFill="1" applyBorder="1" applyAlignment="1">
      <alignment horizontal="left" vertical="center" wrapText="1"/>
    </xf>
    <xf numFmtId="3" fontId="52" fillId="34" borderId="7" xfId="0" applyNumberFormat="1" applyFont="1" applyFill="1" applyBorder="1" applyAlignment="1">
      <alignment horizontal="left" vertical="center" wrapText="1"/>
    </xf>
    <xf numFmtId="3" fontId="52" fillId="34" borderId="6" xfId="0" applyNumberFormat="1" applyFont="1" applyFill="1" applyBorder="1" applyAlignment="1">
      <alignment horizontal="left" vertical="center" wrapText="1"/>
    </xf>
    <xf numFmtId="3" fontId="53" fillId="33" borderId="1" xfId="0" applyNumberFormat="1" applyFont="1" applyFill="1" applyBorder="1" applyAlignment="1">
      <alignment horizontal="left" vertical="center" wrapText="1"/>
    </xf>
    <xf numFmtId="3" fontId="73" fillId="33" borderId="7" xfId="0" applyNumberFormat="1" applyFont="1" applyFill="1" applyBorder="1" applyAlignment="1" applyProtection="1">
      <alignment horizontal="left" vertical="center" wrapText="1"/>
    </xf>
    <xf numFmtId="3" fontId="73" fillId="33" borderId="6" xfId="0" applyNumberFormat="1" applyFont="1" applyFill="1" applyBorder="1" applyAlignment="1" applyProtection="1">
      <alignment horizontal="left" vertical="center" wrapText="1"/>
    </xf>
    <xf numFmtId="0" fontId="41" fillId="0" borderId="0" xfId="1467" applyFont="1" applyAlignment="1">
      <alignment horizontal="left" vertical="center" wrapText="1"/>
    </xf>
    <xf numFmtId="0" fontId="41" fillId="3" borderId="5" xfId="1" applyFont="1" applyFill="1" applyBorder="1" applyAlignment="1" applyProtection="1">
      <alignment horizontal="center" vertical="center"/>
      <protection locked="0"/>
    </xf>
    <xf numFmtId="0" fontId="41" fillId="3" borderId="13" xfId="1" applyFont="1" applyFill="1" applyBorder="1" applyAlignment="1" applyProtection="1">
      <alignment horizontal="center" vertical="center"/>
      <protection locked="0"/>
    </xf>
    <xf numFmtId="49" fontId="41" fillId="0" borderId="4" xfId="1" applyNumberFormat="1" applyFont="1" applyFill="1" applyBorder="1" applyAlignment="1">
      <alignment horizontal="left" vertical="center" wrapText="1"/>
    </xf>
    <xf numFmtId="49" fontId="41" fillId="0" borderId="7" xfId="1" applyNumberFormat="1" applyFont="1" applyFill="1" applyBorder="1" applyAlignment="1">
      <alignment horizontal="left" vertical="center" wrapText="1"/>
    </xf>
    <xf numFmtId="49" fontId="41" fillId="0" borderId="6" xfId="1" applyNumberFormat="1" applyFont="1" applyFill="1" applyBorder="1" applyAlignment="1">
      <alignment horizontal="left" vertical="center" wrapText="1"/>
    </xf>
    <xf numFmtId="49" fontId="41" fillId="34" borderId="4" xfId="1" applyNumberFormat="1" applyFont="1" applyFill="1" applyBorder="1" applyAlignment="1">
      <alignment horizontal="left" vertical="center" wrapText="1"/>
    </xf>
    <xf numFmtId="49" fontId="41" fillId="34" borderId="7" xfId="1" applyNumberFormat="1" applyFont="1" applyFill="1" applyBorder="1" applyAlignment="1">
      <alignment horizontal="left" vertical="center" wrapText="1"/>
    </xf>
    <xf numFmtId="49" fontId="41" fillId="34" borderId="6" xfId="1" applyNumberFormat="1" applyFont="1" applyFill="1" applyBorder="1" applyAlignment="1">
      <alignment horizontal="left" vertical="center" wrapText="1"/>
    </xf>
    <xf numFmtId="49" fontId="41" fillId="0" borderId="4" xfId="1" applyNumberFormat="1" applyFont="1" applyBorder="1" applyAlignment="1">
      <alignment horizontal="center" vertical="center"/>
    </xf>
    <xf numFmtId="49" fontId="41" fillId="0" borderId="7" xfId="1" applyNumberFormat="1" applyFont="1" applyBorder="1" applyAlignment="1">
      <alignment horizontal="center" vertical="center"/>
    </xf>
    <xf numFmtId="49" fontId="41" fillId="0" borderId="6" xfId="1" applyNumberFormat="1" applyFont="1" applyBorder="1" applyAlignment="1">
      <alignment horizontal="center" vertical="center"/>
    </xf>
    <xf numFmtId="0" fontId="42" fillId="3" borderId="5" xfId="1" applyFont="1" applyFill="1" applyBorder="1" applyAlignment="1" applyProtection="1">
      <alignment horizontal="center" vertical="center"/>
      <protection locked="0"/>
    </xf>
    <xf numFmtId="0" fontId="42" fillId="3" borderId="13" xfId="1" applyFont="1" applyFill="1" applyBorder="1" applyAlignment="1" applyProtection="1">
      <alignment horizontal="center" vertical="center"/>
      <protection locked="0"/>
    </xf>
    <xf numFmtId="16" fontId="42" fillId="3" borderId="13" xfId="6" applyNumberFormat="1" applyFont="1" applyFill="1" applyBorder="1" applyAlignment="1" applyProtection="1">
      <alignment horizontal="left" vertical="center" wrapText="1"/>
    </xf>
    <xf numFmtId="0" fontId="41" fillId="0" borderId="0" xfId="0" applyFont="1" applyAlignment="1" applyProtection="1">
      <alignment horizontal="left" vertical="center" wrapText="1"/>
    </xf>
    <xf numFmtId="3" fontId="47" fillId="0" borderId="4" xfId="0" applyNumberFormat="1" applyFont="1" applyFill="1" applyBorder="1" applyAlignment="1" applyProtection="1">
      <alignment horizontal="left" vertical="center" wrapText="1"/>
    </xf>
    <xf numFmtId="3" fontId="47" fillId="0" borderId="7" xfId="0" applyNumberFormat="1" applyFont="1" applyFill="1" applyBorder="1" applyAlignment="1" applyProtection="1">
      <alignment horizontal="left" vertical="center" wrapText="1"/>
    </xf>
    <xf numFmtId="3" fontId="47" fillId="0" borderId="6" xfId="0" applyNumberFormat="1" applyFont="1" applyFill="1" applyBorder="1" applyAlignment="1" applyProtection="1">
      <alignment horizontal="left" vertical="center" wrapText="1"/>
    </xf>
    <xf numFmtId="49" fontId="42" fillId="0" borderId="4"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0" borderId="6" xfId="0" applyNumberFormat="1" applyFont="1" applyBorder="1" applyAlignment="1">
      <alignment horizontal="center" vertical="center"/>
    </xf>
    <xf numFmtId="49" fontId="47" fillId="0" borderId="4" xfId="6" applyNumberFormat="1" applyFont="1" applyFill="1" applyBorder="1" applyAlignment="1">
      <alignment horizontal="left" vertical="center" wrapText="1"/>
    </xf>
    <xf numFmtId="49" fontId="47" fillId="0" borderId="7" xfId="6" applyNumberFormat="1" applyFont="1" applyFill="1" applyBorder="1" applyAlignment="1">
      <alignment horizontal="left" vertical="center" wrapText="1"/>
    </xf>
    <xf numFmtId="49" fontId="47" fillId="0" borderId="6" xfId="6" applyNumberFormat="1" applyFont="1" applyFill="1" applyBorder="1" applyAlignment="1">
      <alignment horizontal="left" vertical="center" wrapText="1"/>
    </xf>
    <xf numFmtId="49" fontId="47" fillId="34" borderId="4" xfId="6" applyNumberFormat="1" applyFont="1" applyFill="1" applyBorder="1" applyAlignment="1">
      <alignment horizontal="left" vertical="center" wrapText="1"/>
    </xf>
    <xf numFmtId="49" fontId="47" fillId="34" borderId="7" xfId="6" applyNumberFormat="1" applyFont="1" applyFill="1" applyBorder="1" applyAlignment="1">
      <alignment horizontal="left" vertical="center" wrapText="1"/>
    </xf>
    <xf numFmtId="49" fontId="47" fillId="34" borderId="6" xfId="6" applyNumberFormat="1" applyFont="1" applyFill="1" applyBorder="1" applyAlignment="1">
      <alignment horizontal="left" vertical="center" wrapText="1"/>
    </xf>
    <xf numFmtId="49" fontId="47" fillId="33" borderId="4" xfId="6" applyNumberFormat="1" applyFont="1" applyFill="1" applyBorder="1" applyAlignment="1" applyProtection="1">
      <alignment vertical="center" wrapText="1"/>
    </xf>
    <xf numFmtId="49" fontId="47" fillId="33" borderId="7" xfId="6" applyNumberFormat="1" applyFont="1" applyFill="1" applyBorder="1" applyAlignment="1" applyProtection="1">
      <alignment vertical="center" wrapText="1"/>
    </xf>
    <xf numFmtId="49" fontId="47" fillId="33" borderId="6" xfId="6" applyNumberFormat="1" applyFont="1" applyFill="1" applyBorder="1" applyAlignment="1" applyProtection="1">
      <alignment vertical="center" wrapText="1"/>
    </xf>
    <xf numFmtId="49" fontId="42" fillId="0" borderId="4" xfId="6" applyNumberFormat="1" applyFont="1" applyFill="1" applyBorder="1" applyAlignment="1" applyProtection="1">
      <alignment horizontal="center" vertical="center" wrapText="1"/>
    </xf>
    <xf numFmtId="49" fontId="42" fillId="0" borderId="7" xfId="6" applyNumberFormat="1" applyFont="1" applyFill="1" applyBorder="1" applyAlignment="1" applyProtection="1">
      <alignment horizontal="center" vertical="center" wrapText="1"/>
    </xf>
    <xf numFmtId="49" fontId="42" fillId="0" borderId="6" xfId="6" applyNumberFormat="1" applyFont="1" applyFill="1" applyBorder="1" applyAlignment="1" applyProtection="1">
      <alignment horizontal="center" vertical="center" wrapText="1"/>
    </xf>
    <xf numFmtId="49" fontId="42" fillId="0" borderId="4" xfId="6" applyNumberFormat="1" applyFont="1" applyFill="1" applyBorder="1" applyAlignment="1" applyProtection="1">
      <alignment horizontal="center" vertical="center"/>
    </xf>
    <xf numFmtId="49" fontId="42" fillId="0" borderId="7" xfId="6" applyNumberFormat="1" applyFont="1" applyFill="1" applyBorder="1" applyAlignment="1" applyProtection="1">
      <alignment horizontal="center" vertical="center"/>
    </xf>
    <xf numFmtId="49" fontId="42" fillId="0" borderId="6" xfId="6" applyNumberFormat="1" applyFont="1" applyFill="1" applyBorder="1" applyAlignment="1" applyProtection="1">
      <alignment horizontal="center" vertical="center"/>
    </xf>
    <xf numFmtId="49" fontId="47" fillId="33" borderId="4" xfId="6" applyNumberFormat="1" applyFont="1" applyFill="1" applyBorder="1" applyAlignment="1" applyProtection="1">
      <alignment horizontal="left" vertical="center" wrapText="1"/>
    </xf>
    <xf numFmtId="49" fontId="47" fillId="33" borderId="7" xfId="6" applyNumberFormat="1" applyFont="1" applyFill="1" applyBorder="1" applyAlignment="1" applyProtection="1">
      <alignment horizontal="left" vertical="center" wrapText="1"/>
    </xf>
    <xf numFmtId="49" fontId="47" fillId="33" borderId="6" xfId="6" applyNumberFormat="1" applyFont="1" applyFill="1" applyBorder="1" applyAlignment="1" applyProtection="1">
      <alignment horizontal="left" vertical="center" wrapText="1"/>
    </xf>
    <xf numFmtId="3" fontId="41" fillId="33" borderId="4" xfId="0" applyNumberFormat="1" applyFont="1" applyFill="1" applyBorder="1" applyAlignment="1" applyProtection="1">
      <alignment horizontal="left" vertical="center" wrapText="1"/>
    </xf>
    <xf numFmtId="3" fontId="44" fillId="33" borderId="7" xfId="0" applyNumberFormat="1" applyFont="1" applyFill="1" applyBorder="1" applyAlignment="1" applyProtection="1">
      <alignment horizontal="left" vertical="center" wrapText="1"/>
    </xf>
    <xf numFmtId="3" fontId="44" fillId="33" borderId="6" xfId="0" applyNumberFormat="1" applyFont="1" applyFill="1" applyBorder="1" applyAlignment="1" applyProtection="1">
      <alignment horizontal="left" vertical="center" wrapText="1"/>
    </xf>
    <xf numFmtId="49" fontId="53" fillId="34" borderId="7" xfId="6" applyNumberFormat="1" applyFont="1" applyFill="1" applyBorder="1" applyAlignment="1">
      <alignment horizontal="left" vertical="center" wrapText="1"/>
    </xf>
    <xf numFmtId="49" fontId="53" fillId="34" borderId="6" xfId="6" applyNumberFormat="1" applyFont="1" applyFill="1" applyBorder="1" applyAlignment="1">
      <alignment horizontal="left" vertical="center" wrapText="1"/>
    </xf>
    <xf numFmtId="49" fontId="47" fillId="34" borderId="4" xfId="0" applyNumberFormat="1" applyFont="1" applyFill="1" applyBorder="1" applyAlignment="1">
      <alignment horizontal="left" vertical="center" wrapText="1"/>
    </xf>
    <xf numFmtId="49" fontId="47" fillId="34" borderId="7" xfId="0" applyNumberFormat="1" applyFont="1" applyFill="1" applyBorder="1" applyAlignment="1">
      <alignment horizontal="left" vertical="center" wrapText="1"/>
    </xf>
    <xf numFmtId="49" fontId="41" fillId="34" borderId="4" xfId="6" applyNumberFormat="1" applyFont="1" applyFill="1" applyBorder="1" applyAlignment="1">
      <alignment horizontal="left" vertical="center" wrapText="1"/>
    </xf>
    <xf numFmtId="49" fontId="41" fillId="34" borderId="7" xfId="6" applyNumberFormat="1" applyFont="1" applyFill="1" applyBorder="1" applyAlignment="1">
      <alignment horizontal="left" vertical="center" wrapText="1"/>
    </xf>
    <xf numFmtId="49" fontId="41" fillId="34" borderId="6" xfId="6" applyNumberFormat="1" applyFont="1" applyFill="1" applyBorder="1" applyAlignment="1">
      <alignment horizontal="left" vertical="center" wrapText="1"/>
    </xf>
    <xf numFmtId="49" fontId="41" fillId="34" borderId="1" xfId="6" applyNumberFormat="1" applyFont="1" applyFill="1" applyBorder="1" applyAlignment="1">
      <alignment horizontal="left" vertical="center" wrapText="1"/>
    </xf>
    <xf numFmtId="49" fontId="42" fillId="0" borderId="4" xfId="6" applyNumberFormat="1" applyFont="1" applyBorder="1" applyAlignment="1">
      <alignment horizontal="center" vertical="center" wrapText="1"/>
    </xf>
    <xf numFmtId="49" fontId="42" fillId="0" borderId="7" xfId="6" applyNumberFormat="1" applyFont="1" applyBorder="1" applyAlignment="1">
      <alignment horizontal="center" vertical="center" wrapText="1"/>
    </xf>
    <xf numFmtId="49" fontId="42" fillId="0" borderId="6" xfId="6" applyNumberFormat="1" applyFont="1" applyBorder="1" applyAlignment="1">
      <alignment horizontal="center" vertical="center" wrapText="1"/>
    </xf>
    <xf numFmtId="49" fontId="53" fillId="34" borderId="4" xfId="6" applyNumberFormat="1" applyFont="1" applyFill="1" applyBorder="1" applyAlignment="1">
      <alignment horizontal="left" vertical="center" wrapText="1"/>
    </xf>
    <xf numFmtId="0" fontId="41" fillId="0" borderId="12" xfId="6" applyFont="1" applyBorder="1" applyAlignment="1">
      <alignment horizontal="left" vertical="center" wrapText="1"/>
    </xf>
    <xf numFmtId="0" fontId="41" fillId="0" borderId="0" xfId="6" applyFont="1" applyAlignment="1">
      <alignment horizontal="left" vertical="center" wrapText="1"/>
    </xf>
    <xf numFmtId="0" fontId="41" fillId="0" borderId="12" xfId="6" applyFont="1" applyBorder="1" applyAlignment="1">
      <alignment horizontal="left" vertical="center"/>
    </xf>
    <xf numFmtId="0" fontId="41" fillId="0" borderId="0" xfId="6" applyFont="1" applyAlignment="1">
      <alignment horizontal="left" vertical="center"/>
    </xf>
    <xf numFmtId="49" fontId="53" fillId="34" borderId="4" xfId="6" applyNumberFormat="1" applyFont="1" applyFill="1" applyBorder="1" applyAlignment="1">
      <alignment horizontal="left" vertical="top" wrapText="1"/>
    </xf>
    <xf numFmtId="49" fontId="53" fillId="34" borderId="7" xfId="6" applyNumberFormat="1" applyFont="1" applyFill="1" applyBorder="1" applyAlignment="1">
      <alignment horizontal="left" vertical="top" wrapText="1"/>
    </xf>
    <xf numFmtId="49" fontId="53" fillId="34" borderId="6" xfId="6" applyNumberFormat="1" applyFont="1" applyFill="1" applyBorder="1" applyAlignment="1">
      <alignment horizontal="left" vertical="top"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9050000}"/>
    <cellStyle name="Percent 2 2" xfId="1394" xr:uid="{00000000-0005-0000-0000-00007A050000}"/>
    <cellStyle name="Percent 3" xfId="1395" xr:uid="{00000000-0005-0000-0000-00007B050000}"/>
    <cellStyle name="Percent 4" xfId="1396" xr:uid="{00000000-0005-0000-0000-00007C050000}"/>
    <cellStyle name="Percent 5" xfId="1397" xr:uid="{00000000-0005-0000-0000-00007D050000}"/>
    <cellStyle name="Percent 6" xfId="1398" xr:uid="{00000000-0005-0000-0000-00007E050000}"/>
    <cellStyle name="Percent 6 2" xfId="1399" xr:uid="{00000000-0005-0000-0000-00007F050000}"/>
    <cellStyle name="Procenti" xfId="12" builtinId="5"/>
    <cellStyle name="Title 10" xfId="1400" xr:uid="{00000000-0005-0000-0000-000081050000}"/>
    <cellStyle name="Title 11" xfId="1401" xr:uid="{00000000-0005-0000-0000-000082050000}"/>
    <cellStyle name="Title 12" xfId="1402" xr:uid="{00000000-0005-0000-0000-000083050000}"/>
    <cellStyle name="Title 13" xfId="1403" xr:uid="{00000000-0005-0000-0000-000084050000}"/>
    <cellStyle name="Title 14" xfId="1404" xr:uid="{00000000-0005-0000-0000-000085050000}"/>
    <cellStyle name="Title 15" xfId="1405" xr:uid="{00000000-0005-0000-0000-000086050000}"/>
    <cellStyle name="Title 16" xfId="1406" xr:uid="{00000000-0005-0000-0000-000087050000}"/>
    <cellStyle name="Title 2" xfId="1407" xr:uid="{00000000-0005-0000-0000-000088050000}"/>
    <cellStyle name="Title 3" xfId="1408" xr:uid="{00000000-0005-0000-0000-000089050000}"/>
    <cellStyle name="Title 4" xfId="1409" xr:uid="{00000000-0005-0000-0000-00008A050000}"/>
    <cellStyle name="Title 5" xfId="1410" xr:uid="{00000000-0005-0000-0000-00008B050000}"/>
    <cellStyle name="Title 6" xfId="1411" xr:uid="{00000000-0005-0000-0000-00008C050000}"/>
    <cellStyle name="Title 7" xfId="1412" xr:uid="{00000000-0005-0000-0000-00008D050000}"/>
    <cellStyle name="Title 8" xfId="1413" xr:uid="{00000000-0005-0000-0000-00008E050000}"/>
    <cellStyle name="Title 9" xfId="1414" xr:uid="{00000000-0005-0000-0000-00008F050000}"/>
    <cellStyle name="Total 10" xfId="1415" xr:uid="{00000000-0005-0000-0000-000090050000}"/>
    <cellStyle name="Total 10 2" xfId="1416" xr:uid="{00000000-0005-0000-0000-000091050000}"/>
    <cellStyle name="Total 11" xfId="1417" xr:uid="{00000000-0005-0000-0000-000092050000}"/>
    <cellStyle name="Total 11 2" xfId="1418" xr:uid="{00000000-0005-0000-0000-000093050000}"/>
    <cellStyle name="Total 12" xfId="1419" xr:uid="{00000000-0005-0000-0000-000094050000}"/>
    <cellStyle name="Total 12 2" xfId="1420" xr:uid="{00000000-0005-0000-0000-000095050000}"/>
    <cellStyle name="Total 13" xfId="1421" xr:uid="{00000000-0005-0000-0000-000096050000}"/>
    <cellStyle name="Total 13 2" xfId="1422" xr:uid="{00000000-0005-0000-0000-000097050000}"/>
    <cellStyle name="Total 14" xfId="1423" xr:uid="{00000000-0005-0000-0000-000098050000}"/>
    <cellStyle name="Total 14 2" xfId="1424" xr:uid="{00000000-0005-0000-0000-000099050000}"/>
    <cellStyle name="Total 15" xfId="1425" xr:uid="{00000000-0005-0000-0000-00009A050000}"/>
    <cellStyle name="Total 15 2" xfId="1426" xr:uid="{00000000-0005-0000-0000-00009B050000}"/>
    <cellStyle name="Total 16" xfId="1427" xr:uid="{00000000-0005-0000-0000-00009C050000}"/>
    <cellStyle name="Total 2" xfId="1428" xr:uid="{00000000-0005-0000-0000-00009D050000}"/>
    <cellStyle name="Total 2 2" xfId="1429" xr:uid="{00000000-0005-0000-0000-00009E050000}"/>
    <cellStyle name="Total 3" xfId="1430" xr:uid="{00000000-0005-0000-0000-00009F050000}"/>
    <cellStyle name="Total 3 2" xfId="1431" xr:uid="{00000000-0005-0000-0000-0000A0050000}"/>
    <cellStyle name="Total 4" xfId="1432" xr:uid="{00000000-0005-0000-0000-0000A1050000}"/>
    <cellStyle name="Total 4 2" xfId="1433" xr:uid="{00000000-0005-0000-0000-0000A2050000}"/>
    <cellStyle name="Total 5" xfId="1434" xr:uid="{00000000-0005-0000-0000-0000A3050000}"/>
    <cellStyle name="Total 5 2" xfId="1435" xr:uid="{00000000-0005-0000-0000-0000A4050000}"/>
    <cellStyle name="Total 6" xfId="1436" xr:uid="{00000000-0005-0000-0000-0000A5050000}"/>
    <cellStyle name="Total 6 2" xfId="1437" xr:uid="{00000000-0005-0000-0000-0000A6050000}"/>
    <cellStyle name="Total 7" xfId="1438" xr:uid="{00000000-0005-0000-0000-0000A7050000}"/>
    <cellStyle name="Total 7 2" xfId="1439" xr:uid="{00000000-0005-0000-0000-0000A8050000}"/>
    <cellStyle name="Total 8" xfId="1440" xr:uid="{00000000-0005-0000-0000-0000A9050000}"/>
    <cellStyle name="Total 8 2" xfId="1441" xr:uid="{00000000-0005-0000-0000-0000AA050000}"/>
    <cellStyle name="Total 9" xfId="1442" xr:uid="{00000000-0005-0000-0000-0000AB050000}"/>
    <cellStyle name="Total 9 2" xfId="1443" xr:uid="{00000000-0005-0000-0000-0000AC050000}"/>
    <cellStyle name="Warning Text 10" xfId="1444" xr:uid="{00000000-0005-0000-0000-0000AD050000}"/>
    <cellStyle name="Warning Text 11" xfId="1445" xr:uid="{00000000-0005-0000-0000-0000AE050000}"/>
    <cellStyle name="Warning Text 12" xfId="1446" xr:uid="{00000000-0005-0000-0000-0000AF050000}"/>
    <cellStyle name="Warning Text 13" xfId="1447" xr:uid="{00000000-0005-0000-0000-0000B0050000}"/>
    <cellStyle name="Warning Text 14" xfId="1448" xr:uid="{00000000-0005-0000-0000-0000B1050000}"/>
    <cellStyle name="Warning Text 15" xfId="1449" xr:uid="{00000000-0005-0000-0000-0000B2050000}"/>
    <cellStyle name="Warning Text 16" xfId="1450" xr:uid="{00000000-0005-0000-0000-0000B3050000}"/>
    <cellStyle name="Warning Text 2" xfId="1451" xr:uid="{00000000-0005-0000-0000-0000B4050000}"/>
    <cellStyle name="Warning Text 3" xfId="1452" xr:uid="{00000000-0005-0000-0000-0000B5050000}"/>
    <cellStyle name="Warning Text 4" xfId="1453" xr:uid="{00000000-0005-0000-0000-0000B6050000}"/>
    <cellStyle name="Warning Text 5" xfId="1454" xr:uid="{00000000-0005-0000-0000-0000B7050000}"/>
    <cellStyle name="Warning Text 6" xfId="1455" xr:uid="{00000000-0005-0000-0000-0000B8050000}"/>
    <cellStyle name="Warning Text 7" xfId="1456" xr:uid="{00000000-0005-0000-0000-0000B9050000}"/>
    <cellStyle name="Warning Text 8" xfId="1457" xr:uid="{00000000-0005-0000-0000-0000BA050000}"/>
    <cellStyle name="Warning Text 9" xfId="1458" xr:uid="{00000000-0005-0000-0000-0000BB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tabColor rgb="FF00B0F0"/>
    <pageSetUpPr fitToPage="1"/>
  </sheetPr>
  <dimension ref="A1:V488"/>
  <sheetViews>
    <sheetView topLeftCell="A154" zoomScale="90" zoomScaleNormal="90" zoomScaleSheetLayoutView="40" zoomScalePageLayoutView="55" workbookViewId="0">
      <selection activeCell="S131" sqref="S131"/>
    </sheetView>
  </sheetViews>
  <sheetFormatPr defaultRowHeight="15.75" x14ac:dyDescent="0.2"/>
  <cols>
    <col min="1" max="1" width="11.7109375" style="568" customWidth="1"/>
    <col min="2" max="2" width="34.28515625" style="568" customWidth="1"/>
    <col min="3" max="3" width="19.85546875" style="568" hidden="1" customWidth="1"/>
    <col min="4" max="4" width="19.85546875" style="683" hidden="1" customWidth="1"/>
    <col min="5" max="5" width="19.85546875" style="568" hidden="1" customWidth="1"/>
    <col min="6" max="6" width="19.85546875" style="683" hidden="1" customWidth="1"/>
    <col min="7" max="7" width="8.28515625" style="685" hidden="1" customWidth="1"/>
    <col min="8" max="8" width="19.28515625" style="685" customWidth="1"/>
    <col min="9" max="9" width="15" style="685" customWidth="1"/>
    <col min="10" max="10" width="46.7109375" style="685" customWidth="1"/>
    <col min="11" max="11" width="16.140625" style="685" customWidth="1"/>
    <col min="12" max="12" width="16.42578125" style="685" customWidth="1"/>
    <col min="13" max="13" width="38.85546875" style="685" customWidth="1"/>
    <col min="14" max="14" width="5.85546875" style="568" customWidth="1"/>
    <col min="15" max="16" width="9.140625" style="568" customWidth="1"/>
    <col min="17" max="17" width="12.42578125" style="568" customWidth="1"/>
    <col min="18" max="19" width="14.42578125" style="568" bestFit="1" customWidth="1"/>
    <col min="20" max="20" width="12.140625" style="568" bestFit="1" customWidth="1"/>
    <col min="21" max="21" width="12.42578125" style="568" bestFit="1" customWidth="1"/>
    <col min="22" max="22" width="10.42578125" style="568" bestFit="1" customWidth="1"/>
    <col min="23" max="16384" width="9.140625" style="568"/>
  </cols>
  <sheetData>
    <row r="1" spans="1:22" ht="189" x14ac:dyDescent="0.2">
      <c r="A1" s="563" t="s">
        <v>0</v>
      </c>
      <c r="B1" s="564" t="s">
        <v>905</v>
      </c>
      <c r="C1" s="564" t="s">
        <v>654</v>
      </c>
      <c r="D1" s="564" t="s">
        <v>655</v>
      </c>
      <c r="E1" s="564" t="s">
        <v>795</v>
      </c>
      <c r="F1" s="564" t="s">
        <v>796</v>
      </c>
      <c r="G1" s="564" t="s">
        <v>798</v>
      </c>
      <c r="H1" s="565" t="s">
        <v>660</v>
      </c>
      <c r="I1" s="566" t="s">
        <v>659</v>
      </c>
      <c r="J1" s="564" t="s">
        <v>906</v>
      </c>
      <c r="K1" s="567" t="s">
        <v>661</v>
      </c>
      <c r="L1" s="566" t="s">
        <v>658</v>
      </c>
      <c r="M1" s="564" t="s">
        <v>906</v>
      </c>
      <c r="N1" s="568" t="s">
        <v>759</v>
      </c>
    </row>
    <row r="2" spans="1:22" x14ac:dyDescent="0.2">
      <c r="A2" s="563">
        <v>1</v>
      </c>
      <c r="B2" s="564">
        <v>2</v>
      </c>
      <c r="C2" s="564">
        <v>3</v>
      </c>
      <c r="D2" s="564">
        <v>4</v>
      </c>
      <c r="E2" s="564">
        <v>5</v>
      </c>
      <c r="F2" s="564">
        <v>6</v>
      </c>
      <c r="G2" s="564">
        <v>7</v>
      </c>
      <c r="H2" s="565">
        <v>8</v>
      </c>
      <c r="I2" s="569">
        <v>9</v>
      </c>
      <c r="J2" s="564">
        <v>10</v>
      </c>
      <c r="K2" s="567">
        <v>11</v>
      </c>
      <c r="L2" s="569">
        <v>12</v>
      </c>
      <c r="M2" s="564">
        <v>13</v>
      </c>
    </row>
    <row r="3" spans="1:22" ht="47.25" x14ac:dyDescent="0.2">
      <c r="A3" s="570" t="s">
        <v>1</v>
      </c>
      <c r="B3" s="571" t="s">
        <v>2</v>
      </c>
      <c r="C3" s="572">
        <f>C4+C22+C25+C29+C30+C31+C32+C33</f>
        <v>19129311.420000002</v>
      </c>
      <c r="D3" s="572">
        <v>19756030.199999996</v>
      </c>
      <c r="E3" s="572">
        <f>E4+E22+E25+E29+E30+E31+E32+E33</f>
        <v>19129311.420000002</v>
      </c>
      <c r="F3" s="572">
        <v>19756030.199999996</v>
      </c>
      <c r="G3" s="572">
        <f>G4+G22+G25+G29+G30+G31+G32+G33</f>
        <v>19446024.609999999</v>
      </c>
      <c r="H3" s="573">
        <f>G3-F3</f>
        <v>-310005.58999999613</v>
      </c>
      <c r="I3" s="574">
        <f>IFERROR(H3/ABS(F3), "-")</f>
        <v>-1.5691694478174881E-2</v>
      </c>
      <c r="J3" s="575"/>
      <c r="K3" s="573">
        <f>G3-E3</f>
        <v>316713.18999999762</v>
      </c>
      <c r="L3" s="574">
        <f>IFERROR(K3/ABS(E3), "-")</f>
        <v>1.6556434418693654E-2</v>
      </c>
      <c r="M3" s="575"/>
    </row>
    <row r="4" spans="1:22" s="578" customFormat="1" x14ac:dyDescent="0.2">
      <c r="A4" s="576" t="s">
        <v>118</v>
      </c>
      <c r="B4" s="577" t="s">
        <v>3</v>
      </c>
      <c r="C4" s="572">
        <f t="shared" ref="C4:G4" si="0">C5+C10+C13+C16+C21</f>
        <v>16280785.42</v>
      </c>
      <c r="D4" s="572">
        <v>17259325.999999996</v>
      </c>
      <c r="E4" s="572">
        <f t="shared" ref="E4" si="1">E5+E10+E13+E16+E21</f>
        <v>16280785.42</v>
      </c>
      <c r="F4" s="572">
        <v>17259325.999999996</v>
      </c>
      <c r="G4" s="572">
        <f t="shared" si="0"/>
        <v>17164050.219999999</v>
      </c>
      <c r="H4" s="573">
        <f>G4-F4</f>
        <v>-95275.779999997467</v>
      </c>
      <c r="I4" s="574">
        <f>IFERROR(H4/ABS(F4), "-")</f>
        <v>-5.5202491684783915E-3</v>
      </c>
      <c r="J4" s="575"/>
      <c r="K4" s="573">
        <f t="shared" ref="K4:K67" si="2">G4-E4</f>
        <v>883264.79999999888</v>
      </c>
      <c r="L4" s="574">
        <f t="shared" ref="L4:L67" si="3">IFERROR(K4/ABS(E4), "-")</f>
        <v>5.4251977236611654E-2</v>
      </c>
      <c r="M4" s="575"/>
    </row>
    <row r="5" spans="1:22" s="578" customFormat="1" ht="31.5" x14ac:dyDescent="0.2">
      <c r="A5" s="576" t="s">
        <v>119</v>
      </c>
      <c r="B5" s="577" t="s">
        <v>120</v>
      </c>
      <c r="C5" s="572">
        <f t="shared" ref="C5" si="4">SUM(C6:C9)</f>
        <v>15647431.439999999</v>
      </c>
      <c r="D5" s="572">
        <v>16584771.999999996</v>
      </c>
      <c r="E5" s="572">
        <f t="shared" ref="E5" si="5">SUM(E6:E9)</f>
        <v>15647431.439999999</v>
      </c>
      <c r="F5" s="572">
        <v>16584771.999999996</v>
      </c>
      <c r="G5" s="572">
        <f>SUM(G6:G9)</f>
        <v>16434979.749999998</v>
      </c>
      <c r="H5" s="573">
        <f t="shared" ref="H5:H67" si="6">G5-F5</f>
        <v>-149792.24999999814</v>
      </c>
      <c r="I5" s="574">
        <f t="shared" ref="I5:I67" si="7">IFERROR(H5/ABS(F5), "-")</f>
        <v>-9.0319149398012926E-3</v>
      </c>
      <c r="J5" s="686"/>
      <c r="K5" s="573">
        <f t="shared" si="2"/>
        <v>787548.30999999866</v>
      </c>
      <c r="L5" s="574">
        <f>IFERROR(K5/ABS(E5), "-")</f>
        <v>5.0330836279414218E-2</v>
      </c>
      <c r="M5" s="733" t="s">
        <v>915</v>
      </c>
    </row>
    <row r="6" spans="1:22" x14ac:dyDescent="0.2">
      <c r="A6" s="579" t="s">
        <v>121</v>
      </c>
      <c r="B6" s="580" t="s">
        <v>4</v>
      </c>
      <c r="C6" s="581">
        <v>14337244.859999999</v>
      </c>
      <c r="D6" s="581">
        <v>15217292.999999996</v>
      </c>
      <c r="E6" s="581">
        <v>14337244.859999999</v>
      </c>
      <c r="F6" s="581">
        <v>15217292.999999996</v>
      </c>
      <c r="G6" s="581">
        <f>15051697.54+78060.08</f>
        <v>15129757.619999999</v>
      </c>
      <c r="H6" s="573">
        <f t="shared" si="6"/>
        <v>-87535.379999997094</v>
      </c>
      <c r="I6" s="574">
        <f t="shared" si="7"/>
        <v>-5.7523621316877523E-3</v>
      </c>
      <c r="J6" s="686"/>
      <c r="K6" s="582">
        <f>G6-E6</f>
        <v>792512.75999999978</v>
      </c>
      <c r="L6" s="583">
        <f>IFERROR(K6/ABS(E6), "-")</f>
        <v>5.5276503103539786E-2</v>
      </c>
      <c r="M6" s="734"/>
    </row>
    <row r="7" spans="1:22" ht="31.5" x14ac:dyDescent="0.2">
      <c r="A7" s="579" t="s">
        <v>122</v>
      </c>
      <c r="B7" s="580" t="s">
        <v>5</v>
      </c>
      <c r="C7" s="581">
        <v>61077.01</v>
      </c>
      <c r="D7" s="581">
        <v>60635</v>
      </c>
      <c r="E7" s="581">
        <v>61077.01</v>
      </c>
      <c r="F7" s="581">
        <v>60635</v>
      </c>
      <c r="G7" s="581">
        <f>50048.35+822</f>
        <v>50870.35</v>
      </c>
      <c r="H7" s="573">
        <f>G7-F7</f>
        <v>-9764.6500000000015</v>
      </c>
      <c r="I7" s="574">
        <f t="shared" si="7"/>
        <v>-0.1610398284818999</v>
      </c>
      <c r="J7" s="686"/>
      <c r="K7" s="582">
        <f t="shared" si="2"/>
        <v>-10206.660000000003</v>
      </c>
      <c r="L7" s="583">
        <f t="shared" si="3"/>
        <v>-0.16711132388438799</v>
      </c>
      <c r="M7" s="734"/>
      <c r="V7" s="584"/>
    </row>
    <row r="8" spans="1:22" x14ac:dyDescent="0.2">
      <c r="A8" s="579" t="s">
        <v>123</v>
      </c>
      <c r="B8" s="580" t="s">
        <v>6</v>
      </c>
      <c r="C8" s="581">
        <v>1223505.6299999999</v>
      </c>
      <c r="D8" s="581">
        <v>1281661</v>
      </c>
      <c r="E8" s="581">
        <v>1223505.6299999999</v>
      </c>
      <c r="F8" s="581">
        <v>1281661</v>
      </c>
      <c r="G8" s="581">
        <v>1239104.68</v>
      </c>
      <c r="H8" s="573">
        <f t="shared" si="6"/>
        <v>-42556.320000000065</v>
      </c>
      <c r="I8" s="574">
        <f t="shared" si="7"/>
        <v>-3.3204037573118059E-2</v>
      </c>
      <c r="J8" s="686"/>
      <c r="K8" s="582">
        <f t="shared" si="2"/>
        <v>15599.050000000047</v>
      </c>
      <c r="L8" s="583">
        <f t="shared" si="3"/>
        <v>1.2749471369412537E-2</v>
      </c>
      <c r="M8" s="734"/>
    </row>
    <row r="9" spans="1:22" ht="31.5" x14ac:dyDescent="0.2">
      <c r="A9" s="579" t="s">
        <v>124</v>
      </c>
      <c r="B9" s="580" t="s">
        <v>7</v>
      </c>
      <c r="C9" s="581">
        <v>25603.94</v>
      </c>
      <c r="D9" s="581">
        <v>25183</v>
      </c>
      <c r="E9" s="581">
        <v>25603.94</v>
      </c>
      <c r="F9" s="581">
        <v>25183</v>
      </c>
      <c r="G9" s="581">
        <f>15247.1</f>
        <v>15247.1</v>
      </c>
      <c r="H9" s="573">
        <f t="shared" si="6"/>
        <v>-9935.9</v>
      </c>
      <c r="I9" s="574">
        <f t="shared" si="7"/>
        <v>-0.39454790930389549</v>
      </c>
      <c r="J9" s="686"/>
      <c r="K9" s="582">
        <f t="shared" si="2"/>
        <v>-10356.839999999998</v>
      </c>
      <c r="L9" s="583">
        <f t="shared" si="3"/>
        <v>-0.40450180714374423</v>
      </c>
      <c r="M9" s="735"/>
    </row>
    <row r="10" spans="1:22" ht="31.5" x14ac:dyDescent="0.2">
      <c r="A10" s="576" t="s">
        <v>125</v>
      </c>
      <c r="B10" s="577" t="s">
        <v>126</v>
      </c>
      <c r="C10" s="572">
        <f t="shared" ref="C10:G10" si="8">SUM(C11:C12)</f>
        <v>0</v>
      </c>
      <c r="D10" s="572">
        <v>0</v>
      </c>
      <c r="E10" s="572">
        <f t="shared" ref="E10" si="9">SUM(E11:E12)</f>
        <v>0</v>
      </c>
      <c r="F10" s="572">
        <v>0</v>
      </c>
      <c r="G10" s="572">
        <f t="shared" si="8"/>
        <v>0</v>
      </c>
      <c r="H10" s="573">
        <f t="shared" si="6"/>
        <v>0</v>
      </c>
      <c r="I10" s="574" t="str">
        <f t="shared" si="7"/>
        <v>-</v>
      </c>
      <c r="J10" s="727"/>
      <c r="K10" s="573">
        <f t="shared" si="2"/>
        <v>0</v>
      </c>
      <c r="L10" s="574" t="str">
        <f t="shared" si="3"/>
        <v>-</v>
      </c>
      <c r="M10" s="727"/>
    </row>
    <row r="11" spans="1:22" x14ac:dyDescent="0.2">
      <c r="A11" s="579" t="s">
        <v>127</v>
      </c>
      <c r="B11" s="580" t="s">
        <v>128</v>
      </c>
      <c r="C11" s="581"/>
      <c r="D11" s="581"/>
      <c r="E11" s="581"/>
      <c r="F11" s="581"/>
      <c r="G11" s="581"/>
      <c r="H11" s="573">
        <f t="shared" si="6"/>
        <v>0</v>
      </c>
      <c r="I11" s="574" t="str">
        <f t="shared" si="7"/>
        <v>-</v>
      </c>
      <c r="J11" s="728"/>
      <c r="K11" s="582">
        <f t="shared" si="2"/>
        <v>0</v>
      </c>
      <c r="L11" s="583" t="str">
        <f t="shared" si="3"/>
        <v>-</v>
      </c>
      <c r="M11" s="728"/>
    </row>
    <row r="12" spans="1:22" ht="15" customHeight="1" x14ac:dyDescent="0.2">
      <c r="A12" s="579" t="s">
        <v>129</v>
      </c>
      <c r="B12" s="580" t="s">
        <v>130</v>
      </c>
      <c r="C12" s="581"/>
      <c r="D12" s="581"/>
      <c r="E12" s="581"/>
      <c r="F12" s="581"/>
      <c r="G12" s="581"/>
      <c r="H12" s="573">
        <f t="shared" si="6"/>
        <v>0</v>
      </c>
      <c r="I12" s="574" t="str">
        <f t="shared" si="7"/>
        <v>-</v>
      </c>
      <c r="J12" s="729"/>
      <c r="K12" s="582">
        <f t="shared" si="2"/>
        <v>0</v>
      </c>
      <c r="L12" s="583" t="str">
        <f t="shared" si="3"/>
        <v>-</v>
      </c>
      <c r="M12" s="729"/>
    </row>
    <row r="13" spans="1:22" ht="31.5" x14ac:dyDescent="0.2">
      <c r="A13" s="576" t="s">
        <v>131</v>
      </c>
      <c r="B13" s="577" t="s">
        <v>132</v>
      </c>
      <c r="C13" s="572">
        <f t="shared" ref="C13:G13" si="10">SUM(C14:C15)</f>
        <v>467899.98</v>
      </c>
      <c r="D13" s="572">
        <v>514690.00000000006</v>
      </c>
      <c r="E13" s="572">
        <f t="shared" ref="E13" si="11">SUM(E14:E15)</f>
        <v>467899.98</v>
      </c>
      <c r="F13" s="572">
        <v>514690.00000000006</v>
      </c>
      <c r="G13" s="572">
        <f t="shared" si="10"/>
        <v>580318.71999999986</v>
      </c>
      <c r="H13" s="573">
        <f>G13-F13</f>
        <v>65628.719999999797</v>
      </c>
      <c r="I13" s="574">
        <f t="shared" si="7"/>
        <v>0.12751116205871454</v>
      </c>
      <c r="J13" s="730" t="s">
        <v>909</v>
      </c>
      <c r="K13" s="573">
        <f t="shared" si="2"/>
        <v>112418.73999999987</v>
      </c>
      <c r="L13" s="574">
        <f t="shared" si="3"/>
        <v>0.24026233127857768</v>
      </c>
      <c r="M13" s="730" t="s">
        <v>711</v>
      </c>
    </row>
    <row r="14" spans="1:22" ht="148.5" customHeight="1" x14ac:dyDescent="0.2">
      <c r="A14" s="579" t="s">
        <v>133</v>
      </c>
      <c r="B14" s="580" t="s">
        <v>134</v>
      </c>
      <c r="C14" s="581">
        <v>467899.98</v>
      </c>
      <c r="D14" s="581">
        <v>514690.00000000006</v>
      </c>
      <c r="E14" s="581">
        <v>467899.98</v>
      </c>
      <c r="F14" s="581">
        <v>514690.00000000006</v>
      </c>
      <c r="G14" s="581">
        <f>1575.46+577131.07+1612.19</f>
        <v>580318.71999999986</v>
      </c>
      <c r="H14" s="573">
        <f t="shared" si="6"/>
        <v>65628.719999999797</v>
      </c>
      <c r="I14" s="574">
        <f t="shared" si="7"/>
        <v>0.12751116205871454</v>
      </c>
      <c r="J14" s="731"/>
      <c r="K14" s="582">
        <f t="shared" si="2"/>
        <v>112418.73999999987</v>
      </c>
      <c r="L14" s="583">
        <f t="shared" si="3"/>
        <v>0.24026233127857768</v>
      </c>
      <c r="M14" s="731"/>
      <c r="N14" s="584"/>
    </row>
    <row r="15" spans="1:22" ht="33.75" customHeight="1" x14ac:dyDescent="0.2">
      <c r="A15" s="579" t="s">
        <v>135</v>
      </c>
      <c r="B15" s="580" t="s">
        <v>417</v>
      </c>
      <c r="C15" s="581"/>
      <c r="D15" s="581"/>
      <c r="E15" s="581"/>
      <c r="F15" s="581"/>
      <c r="G15" s="581"/>
      <c r="H15" s="573">
        <f t="shared" si="6"/>
        <v>0</v>
      </c>
      <c r="I15" s="574" t="str">
        <f t="shared" si="7"/>
        <v>-</v>
      </c>
      <c r="J15" s="732"/>
      <c r="K15" s="582">
        <f t="shared" si="2"/>
        <v>0</v>
      </c>
      <c r="L15" s="583" t="str">
        <f t="shared" si="3"/>
        <v>-</v>
      </c>
      <c r="M15" s="732"/>
    </row>
    <row r="16" spans="1:22" x14ac:dyDescent="0.2">
      <c r="A16" s="576" t="s">
        <v>136</v>
      </c>
      <c r="B16" s="577" t="s">
        <v>107</v>
      </c>
      <c r="C16" s="572">
        <f t="shared" ref="C16:G16" si="12">SUM(C17:C20)</f>
        <v>165454</v>
      </c>
      <c r="D16" s="572">
        <v>159864</v>
      </c>
      <c r="E16" s="572">
        <f t="shared" ref="E16" si="13">SUM(E17:E20)</f>
        <v>165454</v>
      </c>
      <c r="F16" s="572">
        <v>159864</v>
      </c>
      <c r="G16" s="572">
        <f t="shared" si="12"/>
        <v>148751.75</v>
      </c>
      <c r="H16" s="573">
        <f t="shared" si="6"/>
        <v>-11112.25</v>
      </c>
      <c r="I16" s="574">
        <f t="shared" si="7"/>
        <v>-6.9510646549567137E-2</v>
      </c>
      <c r="J16" s="733" t="s">
        <v>710</v>
      </c>
      <c r="K16" s="573">
        <f t="shared" si="2"/>
        <v>-16702.25</v>
      </c>
      <c r="L16" s="574">
        <f t="shared" si="3"/>
        <v>-0.10094799763076143</v>
      </c>
      <c r="M16" s="733" t="s">
        <v>710</v>
      </c>
    </row>
    <row r="17" spans="1:14" ht="31.5" x14ac:dyDescent="0.2">
      <c r="A17" s="579" t="s">
        <v>137</v>
      </c>
      <c r="B17" s="580" t="s">
        <v>8</v>
      </c>
      <c r="C17" s="581"/>
      <c r="D17" s="581"/>
      <c r="E17" s="581"/>
      <c r="F17" s="581"/>
      <c r="G17" s="581"/>
      <c r="H17" s="573">
        <f t="shared" si="6"/>
        <v>0</v>
      </c>
      <c r="I17" s="574" t="str">
        <f t="shared" si="7"/>
        <v>-</v>
      </c>
      <c r="J17" s="734"/>
      <c r="K17" s="582">
        <f t="shared" si="2"/>
        <v>0</v>
      </c>
      <c r="L17" s="583" t="str">
        <f t="shared" si="3"/>
        <v>-</v>
      </c>
      <c r="M17" s="734"/>
    </row>
    <row r="18" spans="1:14" ht="31.5" x14ac:dyDescent="0.2">
      <c r="A18" s="579" t="s">
        <v>138</v>
      </c>
      <c r="B18" s="585" t="s">
        <v>9</v>
      </c>
      <c r="C18" s="586">
        <v>165454</v>
      </c>
      <c r="D18" s="581">
        <v>159864</v>
      </c>
      <c r="E18" s="586">
        <v>165454</v>
      </c>
      <c r="F18" s="581">
        <v>159864</v>
      </c>
      <c r="G18" s="581">
        <v>148751.75</v>
      </c>
      <c r="H18" s="573">
        <f t="shared" si="6"/>
        <v>-11112.25</v>
      </c>
      <c r="I18" s="574">
        <f t="shared" si="7"/>
        <v>-6.9510646549567137E-2</v>
      </c>
      <c r="J18" s="734"/>
      <c r="K18" s="582">
        <f t="shared" si="2"/>
        <v>-16702.25</v>
      </c>
      <c r="L18" s="583">
        <f t="shared" si="3"/>
        <v>-0.10094799763076143</v>
      </c>
      <c r="M18" s="734"/>
    </row>
    <row r="19" spans="1:14" ht="47.25" x14ac:dyDescent="0.2">
      <c r="A19" s="579" t="s">
        <v>139</v>
      </c>
      <c r="B19" s="580" t="s">
        <v>11</v>
      </c>
      <c r="C19" s="581"/>
      <c r="D19" s="581"/>
      <c r="E19" s="581"/>
      <c r="F19" s="581"/>
      <c r="G19" s="581"/>
      <c r="H19" s="573">
        <f t="shared" si="6"/>
        <v>0</v>
      </c>
      <c r="I19" s="574" t="str">
        <f t="shared" si="7"/>
        <v>-</v>
      </c>
      <c r="J19" s="734"/>
      <c r="K19" s="582">
        <f t="shared" si="2"/>
        <v>0</v>
      </c>
      <c r="L19" s="583" t="str">
        <f t="shared" si="3"/>
        <v>-</v>
      </c>
      <c r="M19" s="734"/>
    </row>
    <row r="20" spans="1:14" x14ac:dyDescent="0.2">
      <c r="A20" s="579" t="s">
        <v>140</v>
      </c>
      <c r="B20" s="580" t="s">
        <v>12</v>
      </c>
      <c r="C20" s="581"/>
      <c r="D20" s="581"/>
      <c r="E20" s="581"/>
      <c r="F20" s="581"/>
      <c r="G20" s="581"/>
      <c r="H20" s="573">
        <f t="shared" si="6"/>
        <v>0</v>
      </c>
      <c r="I20" s="574" t="str">
        <f t="shared" si="7"/>
        <v>-</v>
      </c>
      <c r="J20" s="735"/>
      <c r="K20" s="582">
        <f t="shared" si="2"/>
        <v>0</v>
      </c>
      <c r="L20" s="583" t="str">
        <f t="shared" si="3"/>
        <v>-</v>
      </c>
      <c r="M20" s="735"/>
    </row>
    <row r="21" spans="1:14" ht="47.25" x14ac:dyDescent="0.2">
      <c r="A21" s="576" t="s">
        <v>412</v>
      </c>
      <c r="B21" s="577" t="s">
        <v>413</v>
      </c>
      <c r="C21" s="587"/>
      <c r="D21" s="587"/>
      <c r="E21" s="587"/>
      <c r="F21" s="587"/>
      <c r="G21" s="587"/>
      <c r="H21" s="573">
        <f t="shared" si="6"/>
        <v>0</v>
      </c>
      <c r="I21" s="574" t="str">
        <f t="shared" si="7"/>
        <v>-</v>
      </c>
      <c r="J21" s="588"/>
      <c r="K21" s="589">
        <f t="shared" si="2"/>
        <v>0</v>
      </c>
      <c r="L21" s="574" t="str">
        <f t="shared" si="3"/>
        <v>-</v>
      </c>
      <c r="M21" s="588"/>
    </row>
    <row r="22" spans="1:14" s="578" customFormat="1" x14ac:dyDescent="0.2">
      <c r="A22" s="576" t="s">
        <v>141</v>
      </c>
      <c r="B22" s="577" t="s">
        <v>13</v>
      </c>
      <c r="C22" s="572">
        <f t="shared" ref="C22:G22" si="14">SUM(C23:C24)</f>
        <v>0</v>
      </c>
      <c r="D22" s="572">
        <v>0</v>
      </c>
      <c r="E22" s="572">
        <f t="shared" ref="E22" si="15">SUM(E23:E24)</f>
        <v>0</v>
      </c>
      <c r="F22" s="572">
        <v>0</v>
      </c>
      <c r="G22" s="572">
        <f t="shared" si="14"/>
        <v>0</v>
      </c>
      <c r="H22" s="573">
        <f t="shared" si="6"/>
        <v>0</v>
      </c>
      <c r="I22" s="574" t="str">
        <f t="shared" si="7"/>
        <v>-</v>
      </c>
      <c r="J22" s="727"/>
      <c r="K22" s="573">
        <f t="shared" si="2"/>
        <v>0</v>
      </c>
      <c r="L22" s="574" t="str">
        <f t="shared" si="3"/>
        <v>-</v>
      </c>
      <c r="M22" s="727"/>
    </row>
    <row r="23" spans="1:14" x14ac:dyDescent="0.2">
      <c r="A23" s="579" t="s">
        <v>142</v>
      </c>
      <c r="B23" s="580" t="s">
        <v>415</v>
      </c>
      <c r="C23" s="581"/>
      <c r="D23" s="581"/>
      <c r="E23" s="581"/>
      <c r="F23" s="581"/>
      <c r="G23" s="581"/>
      <c r="H23" s="573">
        <f t="shared" si="6"/>
        <v>0</v>
      </c>
      <c r="I23" s="574" t="str">
        <f t="shared" si="7"/>
        <v>-</v>
      </c>
      <c r="J23" s="728"/>
      <c r="K23" s="582">
        <f t="shared" si="2"/>
        <v>0</v>
      </c>
      <c r="L23" s="583" t="str">
        <f t="shared" si="3"/>
        <v>-</v>
      </c>
      <c r="M23" s="728"/>
    </row>
    <row r="24" spans="1:14" x14ac:dyDescent="0.2">
      <c r="A24" s="579" t="s">
        <v>414</v>
      </c>
      <c r="B24" s="580" t="s">
        <v>416</v>
      </c>
      <c r="C24" s="581"/>
      <c r="D24" s="581"/>
      <c r="E24" s="581"/>
      <c r="F24" s="581"/>
      <c r="G24" s="581"/>
      <c r="H24" s="573">
        <f t="shared" si="6"/>
        <v>0</v>
      </c>
      <c r="I24" s="574" t="str">
        <f t="shared" si="7"/>
        <v>-</v>
      </c>
      <c r="J24" s="729"/>
      <c r="K24" s="582">
        <f t="shared" si="2"/>
        <v>0</v>
      </c>
      <c r="L24" s="583" t="str">
        <f t="shared" si="3"/>
        <v>-</v>
      </c>
      <c r="M24" s="729"/>
    </row>
    <row r="25" spans="1:14" s="578" customFormat="1" x14ac:dyDescent="0.2">
      <c r="A25" s="576" t="s">
        <v>143</v>
      </c>
      <c r="B25" s="577" t="s">
        <v>14</v>
      </c>
      <c r="C25" s="572">
        <f t="shared" ref="C25:G25" si="16">SUM(C26:C28)</f>
        <v>1716563.03</v>
      </c>
      <c r="D25" s="572">
        <v>1394555</v>
      </c>
      <c r="E25" s="572">
        <f t="shared" ref="E25" si="17">SUM(E26:E28)</f>
        <v>1716563.03</v>
      </c>
      <c r="F25" s="572">
        <v>1394555</v>
      </c>
      <c r="G25" s="572">
        <f t="shared" si="16"/>
        <v>1289051.5</v>
      </c>
      <c r="H25" s="573">
        <f t="shared" si="6"/>
        <v>-105503.5</v>
      </c>
      <c r="I25" s="574">
        <f t="shared" si="7"/>
        <v>-7.5653882421274174E-2</v>
      </c>
      <c r="J25" s="733" t="s">
        <v>910</v>
      </c>
      <c r="K25" s="573">
        <f t="shared" si="2"/>
        <v>-427511.53</v>
      </c>
      <c r="L25" s="574">
        <f t="shared" si="3"/>
        <v>-0.24905087813757706</v>
      </c>
      <c r="M25" s="733" t="s">
        <v>712</v>
      </c>
    </row>
    <row r="26" spans="1:14" ht="31.5" x14ac:dyDescent="0.2">
      <c r="A26" s="579" t="s">
        <v>290</v>
      </c>
      <c r="B26" s="580" t="s">
        <v>144</v>
      </c>
      <c r="C26" s="581">
        <v>1456752.93</v>
      </c>
      <c r="D26" s="581">
        <v>1158240</v>
      </c>
      <c r="E26" s="581">
        <v>1456752.93</v>
      </c>
      <c r="F26" s="581">
        <v>1158240</v>
      </c>
      <c r="G26" s="581">
        <v>1064347.71</v>
      </c>
      <c r="H26" s="573">
        <f t="shared" si="6"/>
        <v>-93892.290000000037</v>
      </c>
      <c r="I26" s="574">
        <f t="shared" si="7"/>
        <v>-8.10646239121426E-2</v>
      </c>
      <c r="J26" s="734"/>
      <c r="K26" s="582">
        <f t="shared" si="2"/>
        <v>-392405.22</v>
      </c>
      <c r="L26" s="583">
        <f t="shared" si="3"/>
        <v>-0.26936978256154942</v>
      </c>
      <c r="M26" s="744"/>
      <c r="N26" s="584"/>
    </row>
    <row r="27" spans="1:14" x14ac:dyDescent="0.2">
      <c r="A27" s="579" t="s">
        <v>291</v>
      </c>
      <c r="B27" s="580" t="s">
        <v>145</v>
      </c>
      <c r="C27" s="581"/>
      <c r="D27" s="581"/>
      <c r="E27" s="581"/>
      <c r="F27" s="581"/>
      <c r="G27" s="581"/>
      <c r="H27" s="573">
        <f t="shared" si="6"/>
        <v>0</v>
      </c>
      <c r="I27" s="574" t="str">
        <f t="shared" si="7"/>
        <v>-</v>
      </c>
      <c r="J27" s="734"/>
      <c r="K27" s="582">
        <f t="shared" si="2"/>
        <v>0</v>
      </c>
      <c r="L27" s="583" t="str">
        <f t="shared" si="3"/>
        <v>-</v>
      </c>
      <c r="M27" s="744"/>
      <c r="N27" s="584"/>
    </row>
    <row r="28" spans="1:14" ht="31.5" x14ac:dyDescent="0.2">
      <c r="A28" s="579" t="s">
        <v>146</v>
      </c>
      <c r="B28" s="580" t="s">
        <v>15</v>
      </c>
      <c r="C28" s="581">
        <v>259810.1</v>
      </c>
      <c r="D28" s="581">
        <v>236315</v>
      </c>
      <c r="E28" s="581">
        <v>259810.1</v>
      </c>
      <c r="F28" s="581">
        <v>236315</v>
      </c>
      <c r="G28" s="581">
        <f>13.22+224604.97+85.6</f>
        <v>224703.79</v>
      </c>
      <c r="H28" s="573">
        <f t="shared" si="6"/>
        <v>-11611.209999999992</v>
      </c>
      <c r="I28" s="574">
        <f t="shared" si="7"/>
        <v>-4.9134460360112528E-2</v>
      </c>
      <c r="J28" s="735"/>
      <c r="K28" s="582">
        <f t="shared" si="2"/>
        <v>-35106.31</v>
      </c>
      <c r="L28" s="583">
        <f t="shared" si="3"/>
        <v>-0.13512296096264154</v>
      </c>
      <c r="M28" s="745"/>
      <c r="N28" s="584"/>
    </row>
    <row r="29" spans="1:14" ht="31.5" x14ac:dyDescent="0.2">
      <c r="A29" s="590" t="s">
        <v>149</v>
      </c>
      <c r="B29" s="591" t="s">
        <v>16</v>
      </c>
      <c r="C29" s="592">
        <v>393826.19</v>
      </c>
      <c r="D29" s="592">
        <v>355133</v>
      </c>
      <c r="E29" s="592">
        <v>393826.19</v>
      </c>
      <c r="F29" s="592">
        <v>355133</v>
      </c>
      <c r="G29" s="592">
        <f>315838.73-280</f>
        <v>315558.73</v>
      </c>
      <c r="H29" s="573">
        <f t="shared" si="6"/>
        <v>-39574.270000000019</v>
      </c>
      <c r="I29" s="574">
        <f t="shared" si="7"/>
        <v>-0.11143506798861277</v>
      </c>
      <c r="J29" s="593" t="s">
        <v>713</v>
      </c>
      <c r="K29" s="594">
        <f t="shared" si="2"/>
        <v>-78267.460000000021</v>
      </c>
      <c r="L29" s="595">
        <f t="shared" si="3"/>
        <v>-0.19873604647776225</v>
      </c>
      <c r="M29" s="593" t="s">
        <v>713</v>
      </c>
    </row>
    <row r="30" spans="1:14" ht="31.5" x14ac:dyDescent="0.2">
      <c r="A30" s="590" t="s">
        <v>150</v>
      </c>
      <c r="B30" s="591" t="s">
        <v>17</v>
      </c>
      <c r="C30" s="592">
        <v>352232.41</v>
      </c>
      <c r="D30" s="592">
        <v>317022</v>
      </c>
      <c r="E30" s="592">
        <v>352232.41</v>
      </c>
      <c r="F30" s="592">
        <v>317022</v>
      </c>
      <c r="G30" s="592">
        <f>298495.14-42.61-28-7</f>
        <v>298417.53000000003</v>
      </c>
      <c r="H30" s="573">
        <f t="shared" si="6"/>
        <v>-18604.469999999972</v>
      </c>
      <c r="I30" s="574">
        <f t="shared" si="7"/>
        <v>-5.8685107027272469E-2</v>
      </c>
      <c r="J30" s="593" t="s">
        <v>714</v>
      </c>
      <c r="K30" s="594">
        <f t="shared" si="2"/>
        <v>-53814.879999999946</v>
      </c>
      <c r="L30" s="595">
        <f t="shared" si="3"/>
        <v>-0.15278230643227847</v>
      </c>
      <c r="M30" s="593" t="s">
        <v>714</v>
      </c>
    </row>
    <row r="31" spans="1:14" x14ac:dyDescent="0.2">
      <c r="A31" s="590" t="s">
        <v>151</v>
      </c>
      <c r="B31" s="591" t="s">
        <v>18</v>
      </c>
      <c r="C31" s="592"/>
      <c r="D31" s="592"/>
      <c r="E31" s="592"/>
      <c r="F31" s="592"/>
      <c r="G31" s="592"/>
      <c r="H31" s="573">
        <f t="shared" si="6"/>
        <v>0</v>
      </c>
      <c r="I31" s="574" t="str">
        <f t="shared" si="7"/>
        <v>-</v>
      </c>
      <c r="J31" s="588"/>
      <c r="K31" s="594">
        <f t="shared" si="2"/>
        <v>0</v>
      </c>
      <c r="L31" s="595" t="str">
        <f t="shared" si="3"/>
        <v>-</v>
      </c>
      <c r="M31" s="588"/>
    </row>
    <row r="32" spans="1:14" s="599" customFormat="1" ht="31.5" x14ac:dyDescent="0.2">
      <c r="A32" s="590" t="s">
        <v>152</v>
      </c>
      <c r="B32" s="596" t="s">
        <v>19</v>
      </c>
      <c r="C32" s="597">
        <v>175023.94</v>
      </c>
      <c r="D32" s="592">
        <v>157577</v>
      </c>
      <c r="E32" s="597">
        <v>175023.94</v>
      </c>
      <c r="F32" s="592">
        <v>157577</v>
      </c>
      <c r="G32" s="592">
        <f>151065-31</f>
        <v>151034</v>
      </c>
      <c r="H32" s="573">
        <f t="shared" si="6"/>
        <v>-6543</v>
      </c>
      <c r="I32" s="574">
        <f t="shared" si="7"/>
        <v>-4.1522557225991102E-2</v>
      </c>
      <c r="J32" s="598"/>
      <c r="K32" s="594">
        <f t="shared" si="2"/>
        <v>-23989.940000000002</v>
      </c>
      <c r="L32" s="595">
        <f t="shared" si="3"/>
        <v>-0.13706662071485765</v>
      </c>
      <c r="M32" s="593" t="s">
        <v>713</v>
      </c>
    </row>
    <row r="33" spans="1:14" s="606" customFormat="1" ht="78.75" x14ac:dyDescent="0.2">
      <c r="A33" s="600" t="s">
        <v>153</v>
      </c>
      <c r="B33" s="601" t="s">
        <v>332</v>
      </c>
      <c r="C33" s="602">
        <f>189588.25+18432.18+2860</f>
        <v>210880.43</v>
      </c>
      <c r="D33" s="603">
        <v>272417.2</v>
      </c>
      <c r="E33" s="602">
        <f>189588.25+18432.18+2860</f>
        <v>210880.43</v>
      </c>
      <c r="F33" s="603">
        <v>272417.2</v>
      </c>
      <c r="G33" s="603">
        <f>201567+11040+15305.63</f>
        <v>227912.63</v>
      </c>
      <c r="H33" s="573">
        <f>G33-F33</f>
        <v>-44504.570000000007</v>
      </c>
      <c r="I33" s="574">
        <f>IFERROR(H33/ABS(F33), "-")</f>
        <v>-0.16336916318059214</v>
      </c>
      <c r="J33" s="593" t="s">
        <v>810</v>
      </c>
      <c r="K33" s="604">
        <f>G33-E33</f>
        <v>17032.200000000012</v>
      </c>
      <c r="L33" s="605">
        <f t="shared" si="3"/>
        <v>8.0767096311402692E-2</v>
      </c>
      <c r="M33" s="598"/>
      <c r="N33" s="584"/>
    </row>
    <row r="34" spans="1:14" ht="47.25" x14ac:dyDescent="0.2">
      <c r="A34" s="570" t="s">
        <v>20</v>
      </c>
      <c r="B34" s="571" t="s">
        <v>342</v>
      </c>
      <c r="C34" s="572">
        <f t="shared" ref="C34:G34" si="18">C35+C59+C150</f>
        <v>17565559.719999999</v>
      </c>
      <c r="D34" s="572">
        <v>18195167.199999999</v>
      </c>
      <c r="E34" s="572">
        <f t="shared" ref="E34" si="19">E35+E59+E150</f>
        <v>17565559.719999999</v>
      </c>
      <c r="F34" s="572">
        <v>18195167.199999999</v>
      </c>
      <c r="G34" s="572">
        <f t="shared" si="18"/>
        <v>18212245.259999998</v>
      </c>
      <c r="H34" s="573">
        <f t="shared" si="6"/>
        <v>17078.059999998659</v>
      </c>
      <c r="I34" s="574">
        <f t="shared" si="7"/>
        <v>9.3860418056497215E-4</v>
      </c>
      <c r="J34" s="575"/>
      <c r="K34" s="573">
        <f t="shared" si="2"/>
        <v>646685.53999999911</v>
      </c>
      <c r="L34" s="574">
        <f t="shared" si="3"/>
        <v>3.681553849170479E-2</v>
      </c>
      <c r="M34" s="575"/>
    </row>
    <row r="35" spans="1:14" s="578" customFormat="1" x14ac:dyDescent="0.2">
      <c r="A35" s="570" t="s">
        <v>21</v>
      </c>
      <c r="B35" s="577" t="s">
        <v>22</v>
      </c>
      <c r="C35" s="607">
        <f t="shared" ref="C35:G35" si="20">C36+C51</f>
        <v>9813138</v>
      </c>
      <c r="D35" s="607">
        <v>10628249</v>
      </c>
      <c r="E35" s="607">
        <f t="shared" ref="E35" si="21">E36+E51</f>
        <v>9813138</v>
      </c>
      <c r="F35" s="607">
        <v>10628249</v>
      </c>
      <c r="G35" s="607">
        <f t="shared" si="20"/>
        <v>11329719.67</v>
      </c>
      <c r="H35" s="608">
        <f t="shared" si="6"/>
        <v>701470.66999999993</v>
      </c>
      <c r="I35" s="609">
        <f t="shared" si="7"/>
        <v>6.6000586738229408E-2</v>
      </c>
      <c r="J35" s="610"/>
      <c r="K35" s="608">
        <f t="shared" si="2"/>
        <v>1516581.67</v>
      </c>
      <c r="L35" s="609">
        <f t="shared" si="3"/>
        <v>0.15454604531190735</v>
      </c>
      <c r="M35" s="610"/>
      <c r="N35" s="568"/>
    </row>
    <row r="36" spans="1:14" s="578" customFormat="1" x14ac:dyDescent="0.2">
      <c r="A36" s="570">
        <v>1100</v>
      </c>
      <c r="B36" s="611" t="s">
        <v>23</v>
      </c>
      <c r="C36" s="612">
        <f t="shared" ref="C36" si="22">C37+C40+C50+C49</f>
        <v>7863532</v>
      </c>
      <c r="D36" s="612">
        <v>8507297</v>
      </c>
      <c r="E36" s="612">
        <f t="shared" ref="E36" si="23">E37+E40+E50+E49</f>
        <v>7863532</v>
      </c>
      <c r="F36" s="612">
        <v>8507297</v>
      </c>
      <c r="G36" s="613">
        <f>G37+G40+G50+G49</f>
        <v>9069764.0600000005</v>
      </c>
      <c r="H36" s="608">
        <f t="shared" si="6"/>
        <v>562467.06000000052</v>
      </c>
      <c r="I36" s="609">
        <f t="shared" si="7"/>
        <v>6.6115836792814506E-2</v>
      </c>
      <c r="J36" s="614"/>
      <c r="K36" s="608">
        <f t="shared" si="2"/>
        <v>1206232.0600000005</v>
      </c>
      <c r="L36" s="609">
        <f t="shared" si="3"/>
        <v>0.15339570818812723</v>
      </c>
      <c r="M36" s="614"/>
      <c r="N36" s="568"/>
    </row>
    <row r="37" spans="1:14" ht="29.25" customHeight="1" x14ac:dyDescent="0.2">
      <c r="A37" s="615">
        <v>1110</v>
      </c>
      <c r="B37" s="616" t="s">
        <v>24</v>
      </c>
      <c r="C37" s="617">
        <f>SUM(C38:C39)</f>
        <v>5672951</v>
      </c>
      <c r="D37" s="617">
        <v>6177443</v>
      </c>
      <c r="E37" s="617">
        <f>SUM(E38:E39)</f>
        <v>5672951</v>
      </c>
      <c r="F37" s="617">
        <v>6177443</v>
      </c>
      <c r="G37" s="618">
        <v>6211495.1399999997</v>
      </c>
      <c r="H37" s="608">
        <f t="shared" si="6"/>
        <v>34052.139999999665</v>
      </c>
      <c r="I37" s="609">
        <f t="shared" si="7"/>
        <v>5.512335767404032E-3</v>
      </c>
      <c r="J37" s="687"/>
      <c r="K37" s="619">
        <f t="shared" si="2"/>
        <v>538544.13999999966</v>
      </c>
      <c r="L37" s="620">
        <f t="shared" si="3"/>
        <v>9.4931921675332584E-2</v>
      </c>
      <c r="M37" s="743" t="s">
        <v>756</v>
      </c>
    </row>
    <row r="38" spans="1:14" ht="29.25" customHeight="1" x14ac:dyDescent="0.2">
      <c r="A38" s="621">
        <v>1111</v>
      </c>
      <c r="B38" s="622" t="s">
        <v>326</v>
      </c>
      <c r="C38" s="623">
        <v>104400</v>
      </c>
      <c r="D38" s="581">
        <v>109090</v>
      </c>
      <c r="E38" s="623">
        <v>104400</v>
      </c>
      <c r="F38" s="581">
        <v>109090</v>
      </c>
      <c r="G38" s="581">
        <v>123456.42</v>
      </c>
      <c r="H38" s="608">
        <f t="shared" si="6"/>
        <v>14366.419999999998</v>
      </c>
      <c r="I38" s="609">
        <f t="shared" si="7"/>
        <v>0.1316932807773398</v>
      </c>
      <c r="J38" s="688" t="s">
        <v>779</v>
      </c>
      <c r="K38" s="582">
        <f t="shared" si="2"/>
        <v>19056.419999999998</v>
      </c>
      <c r="L38" s="620">
        <f t="shared" si="3"/>
        <v>0.18253275862068963</v>
      </c>
      <c r="M38" s="743"/>
    </row>
    <row r="39" spans="1:14" ht="29.25" customHeight="1" x14ac:dyDescent="0.2">
      <c r="A39" s="621">
        <v>1112</v>
      </c>
      <c r="B39" s="622" t="s">
        <v>327</v>
      </c>
      <c r="C39" s="623">
        <v>5568551</v>
      </c>
      <c r="D39" s="581">
        <v>6068353</v>
      </c>
      <c r="E39" s="623">
        <v>5568551</v>
      </c>
      <c r="F39" s="581">
        <v>6068353</v>
      </c>
      <c r="G39" s="581">
        <f>G37-G38</f>
        <v>6088038.7199999997</v>
      </c>
      <c r="H39" s="608">
        <f t="shared" si="6"/>
        <v>19685.719999999739</v>
      </c>
      <c r="I39" s="609">
        <f t="shared" si="7"/>
        <v>3.2439971768286617E-3</v>
      </c>
      <c r="J39" s="687"/>
      <c r="K39" s="582">
        <f t="shared" si="2"/>
        <v>519487.71999999974</v>
      </c>
      <c r="L39" s="620">
        <f t="shared" si="3"/>
        <v>9.3289568507139417E-2</v>
      </c>
      <c r="M39" s="743"/>
    </row>
    <row r="40" spans="1:14" s="625" customFormat="1" ht="33" customHeight="1" x14ac:dyDescent="0.2">
      <c r="A40" s="570">
        <v>1140</v>
      </c>
      <c r="B40" s="624" t="s">
        <v>154</v>
      </c>
      <c r="C40" s="612">
        <f t="shared" ref="C40" si="24">SUM(C41:C48)</f>
        <v>2177065</v>
      </c>
      <c r="D40" s="612">
        <v>2272256</v>
      </c>
      <c r="E40" s="612">
        <f t="shared" ref="E40" si="25">SUM(E41:E48)</f>
        <v>2177065</v>
      </c>
      <c r="F40" s="612">
        <v>2272256</v>
      </c>
      <c r="G40" s="613">
        <f>SUM(G41:G48)</f>
        <v>2793006.41</v>
      </c>
      <c r="H40" s="608">
        <f t="shared" si="6"/>
        <v>520750.41000000015</v>
      </c>
      <c r="I40" s="609">
        <f t="shared" si="7"/>
        <v>0.22917770268842955</v>
      </c>
      <c r="J40" s="736" t="s">
        <v>811</v>
      </c>
      <c r="K40" s="608">
        <f t="shared" si="2"/>
        <v>615941.41000000015</v>
      </c>
      <c r="L40" s="609">
        <f t="shared" si="3"/>
        <v>0.28292283877605867</v>
      </c>
      <c r="M40" s="736" t="s">
        <v>812</v>
      </c>
      <c r="N40" s="568"/>
    </row>
    <row r="41" spans="1:14" s="625" customFormat="1" x14ac:dyDescent="0.2">
      <c r="A41" s="621">
        <v>1141</v>
      </c>
      <c r="B41" s="626" t="s">
        <v>147</v>
      </c>
      <c r="C41" s="623">
        <v>359705</v>
      </c>
      <c r="D41" s="581">
        <v>390199</v>
      </c>
      <c r="E41" s="623">
        <v>359705</v>
      </c>
      <c r="F41" s="581">
        <v>390199</v>
      </c>
      <c r="G41" s="581">
        <v>390268.78</v>
      </c>
      <c r="H41" s="608">
        <f t="shared" si="6"/>
        <v>69.78000000002794</v>
      </c>
      <c r="I41" s="609">
        <f t="shared" si="7"/>
        <v>1.7883182683714704E-4</v>
      </c>
      <c r="J41" s="737"/>
      <c r="K41" s="582">
        <f t="shared" si="2"/>
        <v>30563.780000000028</v>
      </c>
      <c r="L41" s="620">
        <f t="shared" si="3"/>
        <v>8.4969016277227249E-2</v>
      </c>
      <c r="M41" s="737"/>
      <c r="N41" s="568"/>
    </row>
    <row r="42" spans="1:14" s="625" customFormat="1" ht="31.5" x14ac:dyDescent="0.2">
      <c r="A42" s="621">
        <v>1142</v>
      </c>
      <c r="B42" s="626" t="s">
        <v>25</v>
      </c>
      <c r="C42" s="623">
        <v>73381</v>
      </c>
      <c r="D42" s="581">
        <v>477373</v>
      </c>
      <c r="E42" s="623">
        <v>73381</v>
      </c>
      <c r="F42" s="581">
        <v>477373</v>
      </c>
      <c r="G42" s="581">
        <f>79024.89+399720.95</f>
        <v>478745.84</v>
      </c>
      <c r="H42" s="608">
        <f t="shared" si="6"/>
        <v>1372.8400000000256</v>
      </c>
      <c r="I42" s="609">
        <f t="shared" si="7"/>
        <v>2.8758224700601532E-3</v>
      </c>
      <c r="J42" s="737"/>
      <c r="K42" s="582">
        <f t="shared" si="2"/>
        <v>405364.84</v>
      </c>
      <c r="L42" s="620">
        <f t="shared" si="3"/>
        <v>5.5241116910371897</v>
      </c>
      <c r="M42" s="737"/>
      <c r="N42" s="568"/>
    </row>
    <row r="43" spans="1:14" s="625" customFormat="1" x14ac:dyDescent="0.2">
      <c r="A43" s="621">
        <v>1144</v>
      </c>
      <c r="B43" s="626" t="s">
        <v>26</v>
      </c>
      <c r="C43" s="623"/>
      <c r="D43" s="581">
        <v>0</v>
      </c>
      <c r="E43" s="623"/>
      <c r="F43" s="581">
        <v>0</v>
      </c>
      <c r="G43" s="581">
        <v>0</v>
      </c>
      <c r="H43" s="608">
        <f t="shared" si="6"/>
        <v>0</v>
      </c>
      <c r="I43" s="609" t="str">
        <f t="shared" si="7"/>
        <v>-</v>
      </c>
      <c r="J43" s="737"/>
      <c r="K43" s="582">
        <f t="shared" si="2"/>
        <v>0</v>
      </c>
      <c r="L43" s="620" t="str">
        <f t="shared" si="3"/>
        <v>-</v>
      </c>
      <c r="M43" s="737"/>
      <c r="N43" s="568"/>
    </row>
    <row r="44" spans="1:14" s="625" customFormat="1" ht="31.5" x14ac:dyDescent="0.2">
      <c r="A44" s="621">
        <v>1145</v>
      </c>
      <c r="B44" s="626" t="s">
        <v>155</v>
      </c>
      <c r="C44" s="623">
        <v>1064406</v>
      </c>
      <c r="D44" s="581">
        <v>1066675</v>
      </c>
      <c r="E44" s="623">
        <v>1064406</v>
      </c>
      <c r="F44" s="581">
        <v>1066675</v>
      </c>
      <c r="G44" s="581">
        <v>1102686.5900000001</v>
      </c>
      <c r="H44" s="608">
        <f t="shared" si="6"/>
        <v>36011.590000000084</v>
      </c>
      <c r="I44" s="609">
        <f t="shared" si="7"/>
        <v>3.3760601870297967E-2</v>
      </c>
      <c r="J44" s="737"/>
      <c r="K44" s="582">
        <f t="shared" si="2"/>
        <v>38280.590000000084</v>
      </c>
      <c r="L44" s="620">
        <f t="shared" si="3"/>
        <v>3.5964274910137754E-2</v>
      </c>
      <c r="M44" s="737"/>
      <c r="N44" s="568"/>
    </row>
    <row r="45" spans="1:14" s="625" customFormat="1" ht="31.5" x14ac:dyDescent="0.2">
      <c r="A45" s="621">
        <v>1146</v>
      </c>
      <c r="B45" s="626" t="s">
        <v>27</v>
      </c>
      <c r="C45" s="623">
        <v>48077</v>
      </c>
      <c r="D45" s="581">
        <v>51948</v>
      </c>
      <c r="E45" s="623">
        <v>48077</v>
      </c>
      <c r="F45" s="581">
        <v>51948</v>
      </c>
      <c r="G45" s="581">
        <v>51328.12</v>
      </c>
      <c r="H45" s="608">
        <f t="shared" si="6"/>
        <v>-619.87999999999738</v>
      </c>
      <c r="I45" s="609">
        <f t="shared" si="7"/>
        <v>-1.1932701932701881E-2</v>
      </c>
      <c r="J45" s="737"/>
      <c r="K45" s="582">
        <f t="shared" si="2"/>
        <v>3251.1200000000026</v>
      </c>
      <c r="L45" s="620">
        <f t="shared" si="3"/>
        <v>6.7623187802899568E-2</v>
      </c>
      <c r="M45" s="737"/>
      <c r="N45" s="568"/>
    </row>
    <row r="46" spans="1:14" s="625" customFormat="1" x14ac:dyDescent="0.2">
      <c r="A46" s="621">
        <v>1147</v>
      </c>
      <c r="B46" s="626" t="s">
        <v>28</v>
      </c>
      <c r="C46" s="623">
        <v>423094</v>
      </c>
      <c r="D46" s="581">
        <v>75481</v>
      </c>
      <c r="E46" s="623">
        <v>423094</v>
      </c>
      <c r="F46" s="581">
        <v>75481</v>
      </c>
      <c r="G46" s="581">
        <v>77979.100000000006</v>
      </c>
      <c r="H46" s="608">
        <f t="shared" si="6"/>
        <v>2498.1000000000058</v>
      </c>
      <c r="I46" s="609">
        <f t="shared" si="7"/>
        <v>3.3095745949311826E-2</v>
      </c>
      <c r="J46" s="737"/>
      <c r="K46" s="582">
        <f t="shared" si="2"/>
        <v>-345114.9</v>
      </c>
      <c r="L46" s="620">
        <f t="shared" si="3"/>
        <v>-0.81569320292890002</v>
      </c>
      <c r="M46" s="737"/>
      <c r="N46" s="568"/>
    </row>
    <row r="47" spans="1:14" s="625" customFormat="1" x14ac:dyDescent="0.2">
      <c r="A47" s="621">
        <v>1148</v>
      </c>
      <c r="B47" s="626" t="s">
        <v>156</v>
      </c>
      <c r="C47" s="623">
        <v>84865</v>
      </c>
      <c r="D47" s="581">
        <v>84865</v>
      </c>
      <c r="E47" s="623">
        <v>84865</v>
      </c>
      <c r="F47" s="581">
        <v>84865</v>
      </c>
      <c r="G47" s="581">
        <v>574986</v>
      </c>
      <c r="H47" s="608">
        <f t="shared" si="6"/>
        <v>490121</v>
      </c>
      <c r="I47" s="609">
        <f t="shared" si="7"/>
        <v>5.7753019501561305</v>
      </c>
      <c r="J47" s="737"/>
      <c r="K47" s="582">
        <f t="shared" si="2"/>
        <v>490121</v>
      </c>
      <c r="L47" s="620">
        <f t="shared" si="3"/>
        <v>5.7753019501561305</v>
      </c>
      <c r="M47" s="737"/>
      <c r="N47" s="568"/>
    </row>
    <row r="48" spans="1:14" s="625" customFormat="1" ht="47.25" x14ac:dyDescent="0.2">
      <c r="A48" s="621">
        <v>1149</v>
      </c>
      <c r="B48" s="626" t="s">
        <v>29</v>
      </c>
      <c r="C48" s="623">
        <v>123537</v>
      </c>
      <c r="D48" s="627">
        <v>125715</v>
      </c>
      <c r="E48" s="623">
        <v>123537</v>
      </c>
      <c r="F48" s="627">
        <v>125715</v>
      </c>
      <c r="G48" s="581">
        <v>117011.98</v>
      </c>
      <c r="H48" s="608">
        <f t="shared" si="6"/>
        <v>-8703.0200000000041</v>
      </c>
      <c r="I48" s="609">
        <f t="shared" si="7"/>
        <v>-6.922817483991571E-2</v>
      </c>
      <c r="J48" s="738"/>
      <c r="K48" s="628">
        <f t="shared" si="2"/>
        <v>-6525.0200000000041</v>
      </c>
      <c r="L48" s="629">
        <f t="shared" si="3"/>
        <v>-5.2818345920655381E-2</v>
      </c>
      <c r="M48" s="738"/>
      <c r="N48" s="568"/>
    </row>
    <row r="49" spans="1:14" s="625" customFormat="1" ht="47.25" x14ac:dyDescent="0.2">
      <c r="A49" s="615">
        <v>1150</v>
      </c>
      <c r="B49" s="630" t="s">
        <v>30</v>
      </c>
      <c r="C49" s="631">
        <v>13516</v>
      </c>
      <c r="D49" s="581">
        <v>57598</v>
      </c>
      <c r="E49" s="631">
        <v>13516</v>
      </c>
      <c r="F49" s="581">
        <v>57598</v>
      </c>
      <c r="G49" s="632">
        <v>65262.51</v>
      </c>
      <c r="H49" s="608">
        <f t="shared" si="6"/>
        <v>7664.510000000002</v>
      </c>
      <c r="I49" s="609">
        <f t="shared" si="7"/>
        <v>0.13306903017465888</v>
      </c>
      <c r="J49" s="633"/>
      <c r="K49" s="582">
        <f t="shared" si="2"/>
        <v>51746.51</v>
      </c>
      <c r="L49" s="620">
        <f t="shared" si="3"/>
        <v>3.8285372891387985</v>
      </c>
      <c r="M49" s="593" t="s">
        <v>757</v>
      </c>
      <c r="N49" s="568"/>
    </row>
    <row r="50" spans="1:14" s="625" customFormat="1" x14ac:dyDescent="0.2">
      <c r="A50" s="615">
        <v>1170</v>
      </c>
      <c r="B50" s="634" t="s">
        <v>31</v>
      </c>
      <c r="C50" s="631"/>
      <c r="D50" s="592"/>
      <c r="E50" s="631"/>
      <c r="F50" s="592"/>
      <c r="G50" s="592"/>
      <c r="H50" s="608">
        <f t="shared" si="6"/>
        <v>0</v>
      </c>
      <c r="I50" s="609" t="str">
        <f t="shared" si="7"/>
        <v>-</v>
      </c>
      <c r="J50" s="635"/>
      <c r="K50" s="594">
        <f t="shared" si="2"/>
        <v>0</v>
      </c>
      <c r="L50" s="636" t="str">
        <f t="shared" si="3"/>
        <v>-</v>
      </c>
      <c r="M50" s="635"/>
      <c r="N50" s="568"/>
    </row>
    <row r="51" spans="1:14" s="625" customFormat="1" ht="63" x14ac:dyDescent="0.2">
      <c r="A51" s="570">
        <v>1200</v>
      </c>
      <c r="B51" s="624" t="s">
        <v>32</v>
      </c>
      <c r="C51" s="612">
        <f t="shared" ref="C51:G51" si="26">SUM(C52+C53)</f>
        <v>1949606</v>
      </c>
      <c r="D51" s="612">
        <v>2120952</v>
      </c>
      <c r="E51" s="612">
        <f t="shared" ref="E51" si="27">SUM(E52+E53)</f>
        <v>1949606</v>
      </c>
      <c r="F51" s="612">
        <v>2120952</v>
      </c>
      <c r="G51" s="613">
        <f t="shared" si="26"/>
        <v>2259955.61</v>
      </c>
      <c r="H51" s="608">
        <f t="shared" si="6"/>
        <v>139003.60999999987</v>
      </c>
      <c r="I51" s="609">
        <f t="shared" si="7"/>
        <v>6.5538310155062382E-2</v>
      </c>
      <c r="J51" s="610"/>
      <c r="K51" s="608">
        <f t="shared" si="2"/>
        <v>310349.60999999987</v>
      </c>
      <c r="L51" s="609">
        <f t="shared" si="3"/>
        <v>0.15918580985081082</v>
      </c>
      <c r="M51" s="610"/>
      <c r="N51" s="568"/>
    </row>
    <row r="52" spans="1:14" s="625" customFormat="1" ht="126" x14ac:dyDescent="0.2">
      <c r="A52" s="615">
        <v>1210</v>
      </c>
      <c r="B52" s="630" t="s">
        <v>33</v>
      </c>
      <c r="C52" s="631">
        <v>1886713</v>
      </c>
      <c r="D52" s="592">
        <v>2052662</v>
      </c>
      <c r="E52" s="631">
        <v>1886713</v>
      </c>
      <c r="F52" s="592">
        <v>2052662</v>
      </c>
      <c r="G52" s="592">
        <v>2179470.84</v>
      </c>
      <c r="H52" s="608">
        <f t="shared" si="6"/>
        <v>126808.83999999985</v>
      </c>
      <c r="I52" s="609">
        <f t="shared" si="7"/>
        <v>6.1777750063088735E-2</v>
      </c>
      <c r="J52" s="637" t="s">
        <v>813</v>
      </c>
      <c r="K52" s="594">
        <f t="shared" si="2"/>
        <v>292757.83999999985</v>
      </c>
      <c r="L52" s="636">
        <f t="shared" si="3"/>
        <v>0.15516818933245272</v>
      </c>
      <c r="M52" s="637" t="s">
        <v>815</v>
      </c>
      <c r="N52" s="568"/>
    </row>
    <row r="53" spans="1:14" s="625" customFormat="1" ht="19.5" customHeight="1" x14ac:dyDescent="0.2">
      <c r="A53" s="638">
        <v>1220</v>
      </c>
      <c r="B53" s="639" t="s">
        <v>34</v>
      </c>
      <c r="C53" s="640">
        <f t="shared" ref="C53" si="28">SUM(C54:C58)</f>
        <v>62893</v>
      </c>
      <c r="D53" s="640">
        <v>68290</v>
      </c>
      <c r="E53" s="640">
        <f t="shared" ref="E53" si="29">SUM(E54:E58)</f>
        <v>62893</v>
      </c>
      <c r="F53" s="640">
        <v>68290</v>
      </c>
      <c r="G53" s="641">
        <f>SUM(G54:G58)</f>
        <v>80484.77</v>
      </c>
      <c r="H53" s="608">
        <f t="shared" si="6"/>
        <v>12194.770000000004</v>
      </c>
      <c r="I53" s="609">
        <f t="shared" si="7"/>
        <v>0.17857329037926495</v>
      </c>
      <c r="J53" s="736" t="s">
        <v>814</v>
      </c>
      <c r="K53" s="642">
        <f t="shared" si="2"/>
        <v>17591.770000000004</v>
      </c>
      <c r="L53" s="643">
        <f t="shared" si="3"/>
        <v>0.27970950662235866</v>
      </c>
      <c r="M53" s="736" t="s">
        <v>814</v>
      </c>
      <c r="N53" s="568"/>
    </row>
    <row r="54" spans="1:14" s="625" customFormat="1" ht="78.75" x14ac:dyDescent="0.2">
      <c r="A54" s="621">
        <v>1221</v>
      </c>
      <c r="B54" s="626" t="s">
        <v>35</v>
      </c>
      <c r="C54" s="623">
        <v>62826</v>
      </c>
      <c r="D54" s="581">
        <v>68290</v>
      </c>
      <c r="E54" s="623">
        <v>62826</v>
      </c>
      <c r="F54" s="581">
        <v>68290</v>
      </c>
      <c r="G54" s="581">
        <v>80364.77</v>
      </c>
      <c r="H54" s="608">
        <f t="shared" si="6"/>
        <v>12074.770000000004</v>
      </c>
      <c r="I54" s="609">
        <f t="shared" si="7"/>
        <v>0.17681607848879782</v>
      </c>
      <c r="J54" s="737"/>
      <c r="K54" s="582">
        <f t="shared" si="2"/>
        <v>17538.770000000004</v>
      </c>
      <c r="L54" s="620">
        <f t="shared" si="3"/>
        <v>0.27916419953522431</v>
      </c>
      <c r="M54" s="737"/>
      <c r="N54" s="568"/>
    </row>
    <row r="55" spans="1:14" s="625" customFormat="1" ht="31.5" x14ac:dyDescent="0.2">
      <c r="A55" s="621">
        <v>1222</v>
      </c>
      <c r="B55" s="626" t="s">
        <v>36</v>
      </c>
      <c r="C55" s="623"/>
      <c r="D55" s="581"/>
      <c r="E55" s="623"/>
      <c r="F55" s="581"/>
      <c r="G55" s="581"/>
      <c r="H55" s="608">
        <f t="shared" si="6"/>
        <v>0</v>
      </c>
      <c r="I55" s="609" t="str">
        <f t="shared" si="7"/>
        <v>-</v>
      </c>
      <c r="J55" s="737"/>
      <c r="K55" s="582">
        <f t="shared" si="2"/>
        <v>0</v>
      </c>
      <c r="L55" s="620" t="str">
        <f t="shared" si="3"/>
        <v>-</v>
      </c>
      <c r="M55" s="737"/>
      <c r="N55" s="568"/>
    </row>
    <row r="56" spans="1:14" s="625" customFormat="1" x14ac:dyDescent="0.2">
      <c r="A56" s="621">
        <v>1223</v>
      </c>
      <c r="B56" s="644" t="s">
        <v>37</v>
      </c>
      <c r="C56" s="623"/>
      <c r="D56" s="581"/>
      <c r="E56" s="623"/>
      <c r="F56" s="581"/>
      <c r="G56" s="581"/>
      <c r="H56" s="608">
        <f t="shared" si="6"/>
        <v>0</v>
      </c>
      <c r="I56" s="609" t="str">
        <f t="shared" si="7"/>
        <v>-</v>
      </c>
      <c r="J56" s="737"/>
      <c r="K56" s="582">
        <f t="shared" si="2"/>
        <v>0</v>
      </c>
      <c r="L56" s="620" t="str">
        <f t="shared" si="3"/>
        <v>-</v>
      </c>
      <c r="M56" s="737"/>
      <c r="N56" s="568"/>
    </row>
    <row r="57" spans="1:14" s="625" customFormat="1" ht="47.25" x14ac:dyDescent="0.2">
      <c r="A57" s="621">
        <v>1227</v>
      </c>
      <c r="B57" s="626" t="s">
        <v>38</v>
      </c>
      <c r="C57" s="623"/>
      <c r="D57" s="581"/>
      <c r="E57" s="623"/>
      <c r="F57" s="581"/>
      <c r="G57" s="581"/>
      <c r="H57" s="608">
        <f t="shared" si="6"/>
        <v>0</v>
      </c>
      <c r="I57" s="609" t="str">
        <f t="shared" si="7"/>
        <v>-</v>
      </c>
      <c r="J57" s="737"/>
      <c r="K57" s="582">
        <f t="shared" si="2"/>
        <v>0</v>
      </c>
      <c r="L57" s="620" t="str">
        <f t="shared" si="3"/>
        <v>-</v>
      </c>
      <c r="M57" s="737"/>
      <c r="N57" s="568"/>
    </row>
    <row r="58" spans="1:14" s="625" customFormat="1" ht="78.75" x14ac:dyDescent="0.2">
      <c r="A58" s="621">
        <v>1228</v>
      </c>
      <c r="B58" s="626" t="s">
        <v>331</v>
      </c>
      <c r="C58" s="623">
        <v>67</v>
      </c>
      <c r="D58" s="581"/>
      <c r="E58" s="623">
        <v>67</v>
      </c>
      <c r="F58" s="581"/>
      <c r="G58" s="581">
        <v>120</v>
      </c>
      <c r="H58" s="608">
        <f t="shared" si="6"/>
        <v>120</v>
      </c>
      <c r="I58" s="609" t="str">
        <f t="shared" si="7"/>
        <v>-</v>
      </c>
      <c r="J58" s="738"/>
      <c r="K58" s="582">
        <f t="shared" si="2"/>
        <v>53</v>
      </c>
      <c r="L58" s="620">
        <f t="shared" si="3"/>
        <v>0.79104477611940294</v>
      </c>
      <c r="M58" s="738"/>
      <c r="N58" s="568"/>
    </row>
    <row r="59" spans="1:14" s="625" customFormat="1" x14ac:dyDescent="0.2">
      <c r="A59" s="570">
        <v>2000</v>
      </c>
      <c r="B59" s="577" t="s">
        <v>39</v>
      </c>
      <c r="C59" s="572">
        <f t="shared" ref="C59:G59" si="30">C60+C67+C103+C139+C149</f>
        <v>7752421.7200000007</v>
      </c>
      <c r="D59" s="572">
        <v>7566918.2000000002</v>
      </c>
      <c r="E59" s="572">
        <f t="shared" ref="E59" si="31">E60+E67+E103+E139+E149</f>
        <v>7752421.7200000007</v>
      </c>
      <c r="F59" s="572">
        <v>7566918.2000000002</v>
      </c>
      <c r="G59" s="572">
        <f t="shared" si="30"/>
        <v>6882525.5899999999</v>
      </c>
      <c r="H59" s="573">
        <f t="shared" si="6"/>
        <v>-684392.61000000034</v>
      </c>
      <c r="I59" s="574">
        <f t="shared" si="7"/>
        <v>-9.0445355944246936E-2</v>
      </c>
      <c r="J59" s="575"/>
      <c r="K59" s="573">
        <f t="shared" si="2"/>
        <v>-869896.13000000082</v>
      </c>
      <c r="L59" s="574">
        <f t="shared" si="3"/>
        <v>-0.11220959868008841</v>
      </c>
      <c r="M59" s="575"/>
      <c r="N59" s="568"/>
    </row>
    <row r="60" spans="1:14" s="625" customFormat="1" ht="31.5" x14ac:dyDescent="0.2">
      <c r="A60" s="570">
        <v>2100</v>
      </c>
      <c r="B60" s="577" t="s">
        <v>157</v>
      </c>
      <c r="C60" s="572">
        <f t="shared" ref="C60:G60" si="32">C61+C64</f>
        <v>5396</v>
      </c>
      <c r="D60" s="572">
        <v>7750.2</v>
      </c>
      <c r="E60" s="572">
        <f t="shared" ref="E60" si="33">E61+E64</f>
        <v>5396</v>
      </c>
      <c r="F60" s="572">
        <v>7750.2</v>
      </c>
      <c r="G60" s="572">
        <f t="shared" si="32"/>
        <v>495</v>
      </c>
      <c r="H60" s="573">
        <f t="shared" si="6"/>
        <v>-7255.2</v>
      </c>
      <c r="I60" s="574">
        <f t="shared" si="7"/>
        <v>-0.93613068049856774</v>
      </c>
      <c r="J60" s="575"/>
      <c r="K60" s="573">
        <f t="shared" si="2"/>
        <v>-4901</v>
      </c>
      <c r="L60" s="574">
        <f t="shared" si="3"/>
        <v>-0.90826538176426985</v>
      </c>
      <c r="M60" s="575"/>
      <c r="N60" s="568"/>
    </row>
    <row r="61" spans="1:14" s="578" customFormat="1" ht="47.25" x14ac:dyDescent="0.2">
      <c r="A61" s="645">
        <v>2110</v>
      </c>
      <c r="B61" s="577" t="s">
        <v>40</v>
      </c>
      <c r="C61" s="572">
        <f t="shared" ref="C61:G61" si="34">SUM(C62:C63)</f>
        <v>167</v>
      </c>
      <c r="D61" s="572">
        <v>167</v>
      </c>
      <c r="E61" s="572">
        <f t="shared" ref="E61" si="35">SUM(E62:E63)</f>
        <v>167</v>
      </c>
      <c r="F61" s="572">
        <v>167</v>
      </c>
      <c r="G61" s="572">
        <f t="shared" si="34"/>
        <v>200</v>
      </c>
      <c r="H61" s="573">
        <f t="shared" si="6"/>
        <v>33</v>
      </c>
      <c r="I61" s="574">
        <f t="shared" si="7"/>
        <v>0.19760479041916168</v>
      </c>
      <c r="J61" s="712" t="s">
        <v>857</v>
      </c>
      <c r="K61" s="573">
        <f t="shared" si="2"/>
        <v>33</v>
      </c>
      <c r="L61" s="574">
        <f t="shared" si="3"/>
        <v>0.19760479041916168</v>
      </c>
      <c r="M61" s="712" t="s">
        <v>858</v>
      </c>
      <c r="N61" s="568"/>
    </row>
    <row r="62" spans="1:14" s="625" customFormat="1" x14ac:dyDescent="0.2">
      <c r="A62" s="621">
        <v>2111</v>
      </c>
      <c r="B62" s="580" t="s">
        <v>41</v>
      </c>
      <c r="C62" s="581"/>
      <c r="D62" s="581"/>
      <c r="E62" s="581"/>
      <c r="F62" s="581"/>
      <c r="G62" s="581"/>
      <c r="H62" s="573">
        <f t="shared" si="6"/>
        <v>0</v>
      </c>
      <c r="I62" s="574" t="str">
        <f t="shared" si="7"/>
        <v>-</v>
      </c>
      <c r="J62" s="713"/>
      <c r="K62" s="582">
        <f t="shared" si="2"/>
        <v>0</v>
      </c>
      <c r="L62" s="583" t="str">
        <f t="shared" si="3"/>
        <v>-</v>
      </c>
      <c r="M62" s="713"/>
      <c r="N62" s="568"/>
    </row>
    <row r="63" spans="1:14" s="646" customFormat="1" ht="77.25" customHeight="1" x14ac:dyDescent="0.2">
      <c r="A63" s="621">
        <v>2112</v>
      </c>
      <c r="B63" s="580" t="s">
        <v>418</v>
      </c>
      <c r="C63" s="581">
        <v>167</v>
      </c>
      <c r="D63" s="581">
        <v>167</v>
      </c>
      <c r="E63" s="581">
        <v>167</v>
      </c>
      <c r="F63" s="581">
        <v>167</v>
      </c>
      <c r="G63" s="581">
        <v>200</v>
      </c>
      <c r="H63" s="573">
        <f t="shared" si="6"/>
        <v>33</v>
      </c>
      <c r="I63" s="574">
        <f t="shared" si="7"/>
        <v>0.19760479041916168</v>
      </c>
      <c r="J63" s="714"/>
      <c r="K63" s="582">
        <f t="shared" si="2"/>
        <v>33</v>
      </c>
      <c r="L63" s="583">
        <f t="shared" si="3"/>
        <v>0.19760479041916168</v>
      </c>
      <c r="M63" s="714"/>
      <c r="N63" s="568"/>
    </row>
    <row r="64" spans="1:14" s="625" customFormat="1" ht="19.5" customHeight="1" x14ac:dyDescent="0.2">
      <c r="A64" s="645">
        <v>2120</v>
      </c>
      <c r="B64" s="577" t="s">
        <v>42</v>
      </c>
      <c r="C64" s="572">
        <f t="shared" ref="C64:G64" si="36">SUM(C65:C66)</f>
        <v>5229</v>
      </c>
      <c r="D64" s="572">
        <v>7583.2</v>
      </c>
      <c r="E64" s="572">
        <f t="shared" ref="E64" si="37">SUM(E65:E66)</f>
        <v>5229</v>
      </c>
      <c r="F64" s="572">
        <v>7583.2</v>
      </c>
      <c r="G64" s="572">
        <f t="shared" si="36"/>
        <v>295</v>
      </c>
      <c r="H64" s="573">
        <f t="shared" si="6"/>
        <v>-7288.2</v>
      </c>
      <c r="I64" s="574">
        <f t="shared" si="7"/>
        <v>-0.96109821711150967</v>
      </c>
      <c r="J64" s="712" t="s">
        <v>911</v>
      </c>
      <c r="K64" s="573">
        <f t="shared" si="2"/>
        <v>-4934</v>
      </c>
      <c r="L64" s="574">
        <f t="shared" si="3"/>
        <v>-0.94358385924650989</v>
      </c>
      <c r="M64" s="712" t="s">
        <v>871</v>
      </c>
      <c r="N64" s="568"/>
    </row>
    <row r="65" spans="1:14" s="625" customFormat="1" x14ac:dyDescent="0.2">
      <c r="A65" s="621">
        <v>2121</v>
      </c>
      <c r="B65" s="580" t="s">
        <v>41</v>
      </c>
      <c r="C65" s="581">
        <v>160</v>
      </c>
      <c r="D65" s="581">
        <v>160</v>
      </c>
      <c r="E65" s="581">
        <v>160</v>
      </c>
      <c r="F65" s="581">
        <v>160</v>
      </c>
      <c r="G65" s="581"/>
      <c r="H65" s="573">
        <f t="shared" si="6"/>
        <v>-160</v>
      </c>
      <c r="I65" s="574">
        <f t="shared" si="7"/>
        <v>-1</v>
      </c>
      <c r="J65" s="739"/>
      <c r="K65" s="582">
        <f t="shared" si="2"/>
        <v>-160</v>
      </c>
      <c r="L65" s="583">
        <f t="shared" si="3"/>
        <v>-1</v>
      </c>
      <c r="M65" s="713"/>
      <c r="N65" s="568"/>
    </row>
    <row r="66" spans="1:14" s="646" customFormat="1" ht="192" customHeight="1" x14ac:dyDescent="0.2">
      <c r="A66" s="621">
        <v>2122</v>
      </c>
      <c r="B66" s="580" t="s">
        <v>418</v>
      </c>
      <c r="C66" s="581">
        <v>5069</v>
      </c>
      <c r="D66" s="581">
        <v>7423.2</v>
      </c>
      <c r="E66" s="581">
        <v>5069</v>
      </c>
      <c r="F66" s="581">
        <v>7423.2</v>
      </c>
      <c r="G66" s="581">
        <v>295</v>
      </c>
      <c r="H66" s="573">
        <f>G66-F66</f>
        <v>-7128.2</v>
      </c>
      <c r="I66" s="574">
        <f t="shared" si="7"/>
        <v>-0.96025972626360601</v>
      </c>
      <c r="J66" s="740"/>
      <c r="K66" s="582">
        <f t="shared" si="2"/>
        <v>-4774</v>
      </c>
      <c r="L66" s="583">
        <f t="shared" si="3"/>
        <v>-0.94180311698559871</v>
      </c>
      <c r="M66" s="714"/>
      <c r="N66" s="568"/>
    </row>
    <row r="67" spans="1:14" s="625" customFormat="1" x14ac:dyDescent="0.2">
      <c r="A67" s="570">
        <v>2200</v>
      </c>
      <c r="B67" s="624" t="s">
        <v>43</v>
      </c>
      <c r="C67" s="647">
        <f>C68+C69+C75+C83+C90+C91+C97+C102</f>
        <v>1368913.73</v>
      </c>
      <c r="D67" s="648">
        <v>1533838</v>
      </c>
      <c r="E67" s="647">
        <f>E68+E69+E75+E83+E90+E91+E97+E102</f>
        <v>1368913.73</v>
      </c>
      <c r="F67" s="648">
        <v>1533838</v>
      </c>
      <c r="G67" s="647">
        <f t="shared" ref="G67" si="38">G68+G69+G75+G83+G90+G91+G97+G102</f>
        <v>1343984.3599999999</v>
      </c>
      <c r="H67" s="573">
        <f t="shared" si="6"/>
        <v>-189853.64000000013</v>
      </c>
      <c r="I67" s="574">
        <f t="shared" si="7"/>
        <v>-0.12377685257504387</v>
      </c>
      <c r="J67" s="610"/>
      <c r="K67" s="573">
        <f t="shared" si="2"/>
        <v>-24929.370000000112</v>
      </c>
      <c r="L67" s="574">
        <f t="shared" si="3"/>
        <v>-1.8211059947510433E-2</v>
      </c>
      <c r="M67" s="610"/>
      <c r="N67" s="568"/>
    </row>
    <row r="68" spans="1:14" s="625" customFormat="1" ht="19.5" customHeight="1" x14ac:dyDescent="0.2">
      <c r="A68" s="645">
        <v>2210</v>
      </c>
      <c r="B68" s="649" t="s">
        <v>419</v>
      </c>
      <c r="C68" s="650">
        <f>5291.38+15.26+2179.22+797.67+7209.2</f>
        <v>15492.73</v>
      </c>
      <c r="D68" s="651">
        <v>15493</v>
      </c>
      <c r="E68" s="650">
        <f>5291.38+15.26+2179.22+797.67+7209.2</f>
        <v>15492.73</v>
      </c>
      <c r="F68" s="651">
        <v>15493</v>
      </c>
      <c r="G68" s="650">
        <v>18756.099999999999</v>
      </c>
      <c r="H68" s="573">
        <f t="shared" ref="H68:H131" si="39">G68-F68</f>
        <v>3263.0999999999985</v>
      </c>
      <c r="I68" s="574">
        <f t="shared" ref="I68:I131" si="40">IFERROR(H68/ABS(F68), "-")</f>
        <v>0.21061769831536814</v>
      </c>
      <c r="J68" s="635"/>
      <c r="K68" s="589">
        <f t="shared" ref="K68:K131" si="41">G68-E68</f>
        <v>3263.369999999999</v>
      </c>
      <c r="L68" s="574">
        <f t="shared" ref="L68:L131" si="42">IFERROR(K68/ABS(E68), "-")</f>
        <v>0.21063879639030689</v>
      </c>
      <c r="M68" s="635"/>
      <c r="N68" s="568"/>
    </row>
    <row r="69" spans="1:14" s="625" customFormat="1" ht="31.5" x14ac:dyDescent="0.2">
      <c r="A69" s="645">
        <v>2220</v>
      </c>
      <c r="B69" s="624" t="s">
        <v>44</v>
      </c>
      <c r="C69" s="648">
        <f t="shared" ref="C69" si="43">SUM(C70:C74)</f>
        <v>453984</v>
      </c>
      <c r="D69" s="648">
        <v>470177</v>
      </c>
      <c r="E69" s="648">
        <f t="shared" ref="E69" si="44">SUM(E70:E74)</f>
        <v>453984</v>
      </c>
      <c r="F69" s="648">
        <v>470177</v>
      </c>
      <c r="G69" s="647">
        <f>SUM(G70:G74)</f>
        <v>427806.63</v>
      </c>
      <c r="H69" s="573">
        <f t="shared" si="39"/>
        <v>-42370.369999999995</v>
      </c>
      <c r="I69" s="574">
        <f t="shared" si="40"/>
        <v>-9.0115786182650356E-2</v>
      </c>
      <c r="J69" s="712" t="s">
        <v>859</v>
      </c>
      <c r="K69" s="573">
        <f t="shared" si="41"/>
        <v>-26177.369999999995</v>
      </c>
      <c r="L69" s="574">
        <f t="shared" si="42"/>
        <v>-5.7661437407485715E-2</v>
      </c>
      <c r="M69" s="712" t="s">
        <v>872</v>
      </c>
      <c r="N69" s="568"/>
    </row>
    <row r="70" spans="1:14" s="625" customFormat="1" x14ac:dyDescent="0.2">
      <c r="A70" s="621">
        <v>2221</v>
      </c>
      <c r="B70" s="626" t="s">
        <v>420</v>
      </c>
      <c r="C70" s="623">
        <v>175943</v>
      </c>
      <c r="D70" s="581">
        <v>181561</v>
      </c>
      <c r="E70" s="623">
        <v>175943</v>
      </c>
      <c r="F70" s="581">
        <v>181561</v>
      </c>
      <c r="G70" s="581">
        <v>153765.57</v>
      </c>
      <c r="H70" s="573">
        <f t="shared" si="39"/>
        <v>-27795.429999999993</v>
      </c>
      <c r="I70" s="574">
        <f t="shared" si="40"/>
        <v>-0.15309141280341038</v>
      </c>
      <c r="J70" s="713"/>
      <c r="K70" s="582">
        <f t="shared" si="41"/>
        <v>-22177.429999999993</v>
      </c>
      <c r="L70" s="583">
        <f t="shared" si="42"/>
        <v>-0.12604894767055236</v>
      </c>
      <c r="M70" s="713"/>
      <c r="N70" s="568"/>
    </row>
    <row r="71" spans="1:14" s="646" customFormat="1" ht="31.5" x14ac:dyDescent="0.2">
      <c r="A71" s="621">
        <v>2222</v>
      </c>
      <c r="B71" s="626" t="s">
        <v>421</v>
      </c>
      <c r="C71" s="623">
        <v>29412</v>
      </c>
      <c r="D71" s="581">
        <v>30853</v>
      </c>
      <c r="E71" s="623">
        <v>29412</v>
      </c>
      <c r="F71" s="581">
        <v>30853</v>
      </c>
      <c r="G71" s="581">
        <v>29938.71</v>
      </c>
      <c r="H71" s="573">
        <f t="shared" si="39"/>
        <v>-914.29000000000087</v>
      </c>
      <c r="I71" s="574">
        <f t="shared" si="40"/>
        <v>-2.9633747123456417E-2</v>
      </c>
      <c r="J71" s="713"/>
      <c r="K71" s="582">
        <f t="shared" si="41"/>
        <v>526.70999999999913</v>
      </c>
      <c r="L71" s="583">
        <f t="shared" si="42"/>
        <v>1.7907996736026083E-2</v>
      </c>
      <c r="M71" s="713"/>
      <c r="N71" s="568"/>
    </row>
    <row r="72" spans="1:14" s="625" customFormat="1" x14ac:dyDescent="0.2">
      <c r="A72" s="621">
        <v>2223</v>
      </c>
      <c r="B72" s="626" t="s">
        <v>45</v>
      </c>
      <c r="C72" s="623">
        <v>191336</v>
      </c>
      <c r="D72" s="581">
        <v>200470</v>
      </c>
      <c r="E72" s="623">
        <v>191336</v>
      </c>
      <c r="F72" s="581">
        <v>200470</v>
      </c>
      <c r="G72" s="581">
        <v>188430.15</v>
      </c>
      <c r="H72" s="573">
        <f t="shared" si="39"/>
        <v>-12039.850000000006</v>
      </c>
      <c r="I72" s="574">
        <f t="shared" si="40"/>
        <v>-6.0058113433431468E-2</v>
      </c>
      <c r="J72" s="713"/>
      <c r="K72" s="582">
        <f>G72-E72</f>
        <v>-2905.8500000000058</v>
      </c>
      <c r="L72" s="583">
        <f t="shared" si="42"/>
        <v>-1.5187157670276404E-2</v>
      </c>
      <c r="M72" s="713"/>
      <c r="N72" s="568"/>
    </row>
    <row r="73" spans="1:14" s="625" customFormat="1" ht="63" x14ac:dyDescent="0.2">
      <c r="A73" s="621">
        <v>2224</v>
      </c>
      <c r="B73" s="626" t="s">
        <v>158</v>
      </c>
      <c r="C73" s="623">
        <v>57293</v>
      </c>
      <c r="D73" s="581">
        <v>57293</v>
      </c>
      <c r="E73" s="623">
        <v>57293</v>
      </c>
      <c r="F73" s="581">
        <v>57293</v>
      </c>
      <c r="G73" s="581">
        <v>55672.2</v>
      </c>
      <c r="H73" s="573">
        <f t="shared" si="39"/>
        <v>-1620.8000000000029</v>
      </c>
      <c r="I73" s="574">
        <f t="shared" si="40"/>
        <v>-2.8289668894978495E-2</v>
      </c>
      <c r="J73" s="713"/>
      <c r="K73" s="582">
        <f t="shared" si="41"/>
        <v>-1620.8000000000029</v>
      </c>
      <c r="L73" s="583">
        <f t="shared" si="42"/>
        <v>-2.8289668894978495E-2</v>
      </c>
      <c r="M73" s="713"/>
      <c r="N73" s="568"/>
    </row>
    <row r="74" spans="1:14" s="625" customFormat="1" ht="127.5" customHeight="1" x14ac:dyDescent="0.2">
      <c r="A74" s="621">
        <v>2229</v>
      </c>
      <c r="B74" s="626" t="s">
        <v>46</v>
      </c>
      <c r="C74" s="623"/>
      <c r="D74" s="581"/>
      <c r="E74" s="623"/>
      <c r="F74" s="581"/>
      <c r="G74" s="581"/>
      <c r="H74" s="573">
        <f t="shared" si="39"/>
        <v>0</v>
      </c>
      <c r="I74" s="574" t="str">
        <f t="shared" si="40"/>
        <v>-</v>
      </c>
      <c r="J74" s="714"/>
      <c r="K74" s="582">
        <f t="shared" si="41"/>
        <v>0</v>
      </c>
      <c r="L74" s="583" t="str">
        <f t="shared" si="42"/>
        <v>-</v>
      </c>
      <c r="M74" s="714"/>
      <c r="N74" s="568"/>
    </row>
    <row r="75" spans="1:14" s="625" customFormat="1" ht="19.5" customHeight="1" x14ac:dyDescent="0.2">
      <c r="A75" s="645">
        <v>2230</v>
      </c>
      <c r="B75" s="624" t="s">
        <v>422</v>
      </c>
      <c r="C75" s="648">
        <f t="shared" ref="C75:G75" si="45">SUM(C76:C82)</f>
        <v>401122</v>
      </c>
      <c r="D75" s="648">
        <v>408862</v>
      </c>
      <c r="E75" s="648">
        <f t="shared" ref="E75" si="46">SUM(E76:E82)</f>
        <v>401122</v>
      </c>
      <c r="F75" s="648">
        <v>408862</v>
      </c>
      <c r="G75" s="647">
        <f t="shared" si="45"/>
        <v>395747.67</v>
      </c>
      <c r="H75" s="573">
        <f t="shared" si="39"/>
        <v>-13114.330000000016</v>
      </c>
      <c r="I75" s="574">
        <f t="shared" si="40"/>
        <v>-3.2075198966888624E-2</v>
      </c>
      <c r="J75" s="694"/>
      <c r="K75" s="573">
        <f t="shared" si="41"/>
        <v>-5374.3300000000163</v>
      </c>
      <c r="L75" s="574">
        <f t="shared" si="42"/>
        <v>-1.3398242928585359E-2</v>
      </c>
      <c r="M75" s="694"/>
      <c r="N75" s="568"/>
    </row>
    <row r="76" spans="1:14" s="646" customFormat="1" ht="31.5" x14ac:dyDescent="0.2">
      <c r="A76" s="621">
        <v>2231</v>
      </c>
      <c r="B76" s="626" t="s">
        <v>423</v>
      </c>
      <c r="C76" s="623"/>
      <c r="D76" s="581"/>
      <c r="E76" s="623"/>
      <c r="F76" s="581"/>
      <c r="G76" s="581"/>
      <c r="H76" s="573">
        <f t="shared" si="39"/>
        <v>0</v>
      </c>
      <c r="I76" s="574" t="str">
        <f t="shared" si="40"/>
        <v>-</v>
      </c>
      <c r="J76" s="695"/>
      <c r="K76" s="696">
        <f t="shared" si="41"/>
        <v>0</v>
      </c>
      <c r="L76" s="697" t="str">
        <f t="shared" si="42"/>
        <v>-</v>
      </c>
      <c r="M76" s="695"/>
      <c r="N76" s="568"/>
    </row>
    <row r="77" spans="1:14" s="625" customFormat="1" ht="31.5" x14ac:dyDescent="0.2">
      <c r="A77" s="621">
        <v>2232</v>
      </c>
      <c r="B77" s="626" t="s">
        <v>424</v>
      </c>
      <c r="C77" s="623"/>
      <c r="D77" s="581"/>
      <c r="E77" s="623"/>
      <c r="F77" s="581"/>
      <c r="G77" s="581"/>
      <c r="H77" s="573">
        <f t="shared" si="39"/>
        <v>0</v>
      </c>
      <c r="I77" s="574" t="str">
        <f t="shared" si="40"/>
        <v>-</v>
      </c>
      <c r="J77" s="695"/>
      <c r="K77" s="696">
        <f t="shared" si="41"/>
        <v>0</v>
      </c>
      <c r="L77" s="697" t="str">
        <f t="shared" si="42"/>
        <v>-</v>
      </c>
      <c r="M77" s="695"/>
      <c r="N77" s="568"/>
    </row>
    <row r="78" spans="1:14" s="625" customFormat="1" ht="189" x14ac:dyDescent="0.2">
      <c r="A78" s="621">
        <v>2233</v>
      </c>
      <c r="B78" s="626" t="s">
        <v>47</v>
      </c>
      <c r="C78" s="623">
        <v>3069</v>
      </c>
      <c r="D78" s="581">
        <v>3376</v>
      </c>
      <c r="E78" s="623">
        <v>3069</v>
      </c>
      <c r="F78" s="581">
        <v>3376</v>
      </c>
      <c r="G78" s="581">
        <f>12573.16+449.15</f>
        <v>13022.31</v>
      </c>
      <c r="H78" s="573">
        <f t="shared" si="39"/>
        <v>9646.31</v>
      </c>
      <c r="I78" s="574">
        <f t="shared" si="40"/>
        <v>2.8573193127962084</v>
      </c>
      <c r="J78" s="698" t="s">
        <v>933</v>
      </c>
      <c r="K78" s="594">
        <f t="shared" si="41"/>
        <v>9953.31</v>
      </c>
      <c r="L78" s="595">
        <f t="shared" si="42"/>
        <v>3.2431769305962854</v>
      </c>
      <c r="M78" s="698" t="s">
        <v>918</v>
      </c>
      <c r="N78" s="568"/>
    </row>
    <row r="79" spans="1:14" s="625" customFormat="1" ht="47.25" x14ac:dyDescent="0.2">
      <c r="A79" s="621">
        <v>2234</v>
      </c>
      <c r="B79" s="626" t="s">
        <v>48</v>
      </c>
      <c r="C79" s="623"/>
      <c r="D79" s="581"/>
      <c r="E79" s="623"/>
      <c r="F79" s="581"/>
      <c r="G79" s="581"/>
      <c r="H79" s="573">
        <f t="shared" si="39"/>
        <v>0</v>
      </c>
      <c r="I79" s="574" t="str">
        <f t="shared" si="40"/>
        <v>-</v>
      </c>
      <c r="J79" s="695"/>
      <c r="K79" s="696">
        <f t="shared" si="41"/>
        <v>0</v>
      </c>
      <c r="L79" s="697" t="str">
        <f t="shared" si="42"/>
        <v>-</v>
      </c>
      <c r="M79" s="695"/>
      <c r="N79" s="568"/>
    </row>
    <row r="80" spans="1:14" s="625" customFormat="1" ht="141.75" x14ac:dyDescent="0.2">
      <c r="A80" s="621">
        <v>2235</v>
      </c>
      <c r="B80" s="626" t="s">
        <v>425</v>
      </c>
      <c r="C80" s="623">
        <v>4197</v>
      </c>
      <c r="D80" s="581">
        <v>3497</v>
      </c>
      <c r="E80" s="623">
        <v>4197</v>
      </c>
      <c r="F80" s="581">
        <v>3497</v>
      </c>
      <c r="G80" s="581">
        <v>4952.6499999999996</v>
      </c>
      <c r="H80" s="573">
        <f t="shared" si="39"/>
        <v>1455.6499999999996</v>
      </c>
      <c r="I80" s="574">
        <f t="shared" si="40"/>
        <v>0.41625679153560186</v>
      </c>
      <c r="J80" s="698" t="s">
        <v>934</v>
      </c>
      <c r="K80" s="582">
        <f t="shared" si="41"/>
        <v>755.64999999999964</v>
      </c>
      <c r="L80" s="583">
        <f t="shared" si="42"/>
        <v>0.18004527043126034</v>
      </c>
      <c r="M80" s="698" t="s">
        <v>928</v>
      </c>
      <c r="N80" s="568"/>
    </row>
    <row r="81" spans="1:14" s="625" customFormat="1" ht="126" x14ac:dyDescent="0.2">
      <c r="A81" s="621">
        <v>2236</v>
      </c>
      <c r="B81" s="626" t="s">
        <v>426</v>
      </c>
      <c r="C81" s="623">
        <v>7094</v>
      </c>
      <c r="D81" s="581">
        <v>7094</v>
      </c>
      <c r="E81" s="623">
        <v>7094</v>
      </c>
      <c r="F81" s="581">
        <v>7094</v>
      </c>
      <c r="G81" s="581">
        <v>5327.59</v>
      </c>
      <c r="H81" s="573">
        <f t="shared" si="39"/>
        <v>-1766.4099999999999</v>
      </c>
      <c r="I81" s="574">
        <f t="shared" si="40"/>
        <v>-0.24900056385678035</v>
      </c>
      <c r="J81" s="698" t="s">
        <v>929</v>
      </c>
      <c r="K81" s="582">
        <f t="shared" si="41"/>
        <v>-1766.4099999999999</v>
      </c>
      <c r="L81" s="583">
        <f t="shared" si="42"/>
        <v>-0.24900056385678035</v>
      </c>
      <c r="M81" s="698" t="s">
        <v>930</v>
      </c>
      <c r="N81" s="568"/>
    </row>
    <row r="82" spans="1:14" s="625" customFormat="1" ht="237.75" customHeight="1" x14ac:dyDescent="0.2">
      <c r="A82" s="621">
        <v>2239</v>
      </c>
      <c r="B82" s="626" t="s">
        <v>427</v>
      </c>
      <c r="C82" s="623">
        <f>35037+349063-2+2664</f>
        <v>386762</v>
      </c>
      <c r="D82" s="581">
        <v>394895</v>
      </c>
      <c r="E82" s="623">
        <f>35037+349063-2+2664</f>
        <v>386762</v>
      </c>
      <c r="F82" s="581">
        <v>394895</v>
      </c>
      <c r="G82" s="581">
        <f>369946.35+1936.33-56.8+600.6+18.64</f>
        <v>372445.12</v>
      </c>
      <c r="H82" s="573">
        <f t="shared" si="39"/>
        <v>-22449.880000000005</v>
      </c>
      <c r="I82" s="574">
        <f t="shared" si="40"/>
        <v>-5.6850251332632738E-2</v>
      </c>
      <c r="J82" s="698" t="s">
        <v>931</v>
      </c>
      <c r="K82" s="582">
        <f t="shared" si="41"/>
        <v>-14316.880000000005</v>
      </c>
      <c r="L82" s="583">
        <f t="shared" si="42"/>
        <v>-3.701728711714182E-2</v>
      </c>
      <c r="M82" s="698" t="s">
        <v>932</v>
      </c>
      <c r="N82" s="568"/>
    </row>
    <row r="83" spans="1:14" s="646" customFormat="1" ht="56.25" customHeight="1" x14ac:dyDescent="0.2">
      <c r="A83" s="645">
        <v>2240</v>
      </c>
      <c r="B83" s="624" t="s">
        <v>159</v>
      </c>
      <c r="C83" s="648">
        <f t="shared" ref="C83:G83" si="47">SUM(C84:C89)</f>
        <v>323345</v>
      </c>
      <c r="D83" s="648">
        <v>457240</v>
      </c>
      <c r="E83" s="648">
        <f t="shared" ref="E83" si="48">SUM(E84:E89)</f>
        <v>323345</v>
      </c>
      <c r="F83" s="648">
        <v>457240</v>
      </c>
      <c r="G83" s="647">
        <f t="shared" si="47"/>
        <v>295713.31</v>
      </c>
      <c r="H83" s="573">
        <f t="shared" si="39"/>
        <v>-161526.69</v>
      </c>
      <c r="I83" s="574">
        <f t="shared" si="40"/>
        <v>-0.35326456565479836</v>
      </c>
      <c r="J83" s="712" t="s">
        <v>936</v>
      </c>
      <c r="K83" s="573">
        <f t="shared" si="41"/>
        <v>-27631.690000000002</v>
      </c>
      <c r="L83" s="574">
        <f t="shared" si="42"/>
        <v>-8.5455751596591883E-2</v>
      </c>
      <c r="M83" s="712" t="s">
        <v>882</v>
      </c>
      <c r="N83" s="568"/>
    </row>
    <row r="84" spans="1:14" s="625" customFormat="1" x14ac:dyDescent="0.2">
      <c r="A84" s="621">
        <v>2241</v>
      </c>
      <c r="B84" s="626" t="s">
        <v>428</v>
      </c>
      <c r="C84" s="623">
        <v>53939</v>
      </c>
      <c r="D84" s="581">
        <v>151989</v>
      </c>
      <c r="E84" s="623">
        <v>53939</v>
      </c>
      <c r="F84" s="581">
        <v>151989</v>
      </c>
      <c r="G84" s="581">
        <v>25468.26</v>
      </c>
      <c r="H84" s="652">
        <f t="shared" si="39"/>
        <v>-126520.74</v>
      </c>
      <c r="I84" s="605">
        <f t="shared" si="40"/>
        <v>-0.83243353137398102</v>
      </c>
      <c r="J84" s="713"/>
      <c r="K84" s="582">
        <f t="shared" si="41"/>
        <v>-28470.74</v>
      </c>
      <c r="L84" s="583">
        <f t="shared" si="42"/>
        <v>-0.52783218079682603</v>
      </c>
      <c r="M84" s="713"/>
      <c r="N84" s="568"/>
    </row>
    <row r="85" spans="1:14" s="625" customFormat="1" ht="31.5" x14ac:dyDescent="0.2">
      <c r="A85" s="621">
        <v>2242</v>
      </c>
      <c r="B85" s="626" t="s">
        <v>49</v>
      </c>
      <c r="C85" s="623">
        <v>1822</v>
      </c>
      <c r="D85" s="581">
        <v>1822</v>
      </c>
      <c r="E85" s="623">
        <v>1822</v>
      </c>
      <c r="F85" s="581">
        <v>1822</v>
      </c>
      <c r="G85" s="581">
        <v>1616.49</v>
      </c>
      <c r="H85" s="652">
        <f t="shared" si="39"/>
        <v>-205.51</v>
      </c>
      <c r="I85" s="605">
        <f t="shared" si="40"/>
        <v>-0.11279363336992315</v>
      </c>
      <c r="J85" s="713"/>
      <c r="K85" s="582">
        <f t="shared" si="41"/>
        <v>-205.51</v>
      </c>
      <c r="L85" s="583">
        <f t="shared" si="42"/>
        <v>-0.11279363336992315</v>
      </c>
      <c r="M85" s="713"/>
      <c r="N85" s="568"/>
    </row>
    <row r="86" spans="1:14" s="625" customFormat="1" ht="31.5" x14ac:dyDescent="0.2">
      <c r="A86" s="621">
        <v>2243</v>
      </c>
      <c r="B86" s="626" t="s">
        <v>50</v>
      </c>
      <c r="C86" s="623">
        <v>139059</v>
      </c>
      <c r="D86" s="581">
        <v>139846</v>
      </c>
      <c r="E86" s="623">
        <v>139059</v>
      </c>
      <c r="F86" s="581">
        <v>139846</v>
      </c>
      <c r="G86" s="581">
        <v>144135.74</v>
      </c>
      <c r="H86" s="652">
        <f t="shared" si="39"/>
        <v>4289.7399999999907</v>
      </c>
      <c r="I86" s="605">
        <f t="shared" si="40"/>
        <v>3.0674742216438015E-2</v>
      </c>
      <c r="J86" s="713"/>
      <c r="K86" s="582">
        <f t="shared" si="41"/>
        <v>5076.7399999999907</v>
      </c>
      <c r="L86" s="583">
        <f t="shared" si="42"/>
        <v>3.6507813230355395E-2</v>
      </c>
      <c r="M86" s="713"/>
      <c r="N86" s="568"/>
    </row>
    <row r="87" spans="1:14" s="625" customFormat="1" x14ac:dyDescent="0.2">
      <c r="A87" s="621">
        <v>2244</v>
      </c>
      <c r="B87" s="626" t="s">
        <v>160</v>
      </c>
      <c r="C87" s="623">
        <v>23631</v>
      </c>
      <c r="D87" s="581">
        <v>24576</v>
      </c>
      <c r="E87" s="623">
        <v>23631</v>
      </c>
      <c r="F87" s="581">
        <v>24576</v>
      </c>
      <c r="G87" s="581">
        <v>31344.94</v>
      </c>
      <c r="H87" s="652">
        <f t="shared" si="39"/>
        <v>6768.9399999999987</v>
      </c>
      <c r="I87" s="605">
        <f t="shared" si="40"/>
        <v>0.27542887369791663</v>
      </c>
      <c r="J87" s="713"/>
      <c r="K87" s="582">
        <f t="shared" si="41"/>
        <v>7713.9399999999987</v>
      </c>
      <c r="L87" s="583">
        <f t="shared" si="42"/>
        <v>0.32643307519783332</v>
      </c>
      <c r="M87" s="713"/>
      <c r="N87" s="568"/>
    </row>
    <row r="88" spans="1:14" s="625" customFormat="1" x14ac:dyDescent="0.2">
      <c r="A88" s="621">
        <v>2247</v>
      </c>
      <c r="B88" s="626" t="s">
        <v>51</v>
      </c>
      <c r="C88" s="623">
        <f>144+2447</f>
        <v>2591</v>
      </c>
      <c r="D88" s="581">
        <v>2072</v>
      </c>
      <c r="E88" s="623">
        <f>144+2447</f>
        <v>2591</v>
      </c>
      <c r="F88" s="581">
        <v>2072</v>
      </c>
      <c r="G88" s="581">
        <f>98.36+2495.41</f>
        <v>2593.77</v>
      </c>
      <c r="H88" s="652">
        <f t="shared" si="39"/>
        <v>521.77</v>
      </c>
      <c r="I88" s="605">
        <f t="shared" si="40"/>
        <v>0.25181949806949805</v>
      </c>
      <c r="J88" s="713"/>
      <c r="K88" s="582">
        <f t="shared" si="41"/>
        <v>2.7699999999999818</v>
      </c>
      <c r="L88" s="583">
        <f t="shared" si="42"/>
        <v>1.0690852952527912E-3</v>
      </c>
      <c r="M88" s="713"/>
      <c r="N88" s="568"/>
    </row>
    <row r="89" spans="1:14" s="625" customFormat="1" ht="168" customHeight="1" x14ac:dyDescent="0.2">
      <c r="A89" s="621">
        <v>2249</v>
      </c>
      <c r="B89" s="626" t="s">
        <v>52</v>
      </c>
      <c r="C89" s="623">
        <f>8772+93531</f>
        <v>102303</v>
      </c>
      <c r="D89" s="581">
        <v>136935</v>
      </c>
      <c r="E89" s="623">
        <f>8772+93531</f>
        <v>102303</v>
      </c>
      <c r="F89" s="581">
        <v>136935</v>
      </c>
      <c r="G89" s="581">
        <v>90554.11</v>
      </c>
      <c r="H89" s="652">
        <f t="shared" si="39"/>
        <v>-46380.89</v>
      </c>
      <c r="I89" s="605">
        <f t="shared" si="40"/>
        <v>-0.338707342899916</v>
      </c>
      <c r="J89" s="714"/>
      <c r="K89" s="582">
        <f t="shared" si="41"/>
        <v>-11748.89</v>
      </c>
      <c r="L89" s="583">
        <f t="shared" si="42"/>
        <v>-0.11484404171920666</v>
      </c>
      <c r="M89" s="714"/>
      <c r="N89" s="568"/>
    </row>
    <row r="90" spans="1:14" s="646" customFormat="1" ht="402.75" customHeight="1" x14ac:dyDescent="0.2">
      <c r="A90" s="645">
        <v>2250</v>
      </c>
      <c r="B90" s="624" t="s">
        <v>53</v>
      </c>
      <c r="C90" s="651">
        <v>133122</v>
      </c>
      <c r="D90" s="651">
        <v>139651</v>
      </c>
      <c r="E90" s="651">
        <v>133122</v>
      </c>
      <c r="F90" s="651">
        <v>139651</v>
      </c>
      <c r="G90" s="650">
        <v>153933.95000000001</v>
      </c>
      <c r="H90" s="573">
        <f t="shared" si="39"/>
        <v>14282.950000000012</v>
      </c>
      <c r="I90" s="574">
        <f t="shared" si="40"/>
        <v>0.10227603096290046</v>
      </c>
      <c r="J90" s="653" t="s">
        <v>860</v>
      </c>
      <c r="K90" s="589">
        <f t="shared" si="41"/>
        <v>20811.950000000012</v>
      </c>
      <c r="L90" s="574">
        <f t="shared" si="42"/>
        <v>0.15633741981039956</v>
      </c>
      <c r="M90" s="654" t="s">
        <v>876</v>
      </c>
      <c r="N90" s="568"/>
    </row>
    <row r="91" spans="1:14" s="646" customFormat="1" ht="19.5" customHeight="1" x14ac:dyDescent="0.2">
      <c r="A91" s="645">
        <v>2260</v>
      </c>
      <c r="B91" s="649" t="s">
        <v>54</v>
      </c>
      <c r="C91" s="648">
        <f t="shared" ref="C91:G91" si="49">SUM(C92:C96)</f>
        <v>32157</v>
      </c>
      <c r="D91" s="648">
        <v>33434</v>
      </c>
      <c r="E91" s="648">
        <f t="shared" ref="E91" si="50">SUM(E92:E96)</f>
        <v>32157</v>
      </c>
      <c r="F91" s="648">
        <v>33434</v>
      </c>
      <c r="G91" s="647">
        <f t="shared" si="49"/>
        <v>43835.57</v>
      </c>
      <c r="H91" s="573">
        <f t="shared" si="39"/>
        <v>10401.57</v>
      </c>
      <c r="I91" s="574">
        <f t="shared" si="40"/>
        <v>0.31110755518334626</v>
      </c>
      <c r="J91" s="712" t="s">
        <v>927</v>
      </c>
      <c r="K91" s="573">
        <f t="shared" si="41"/>
        <v>11678.57</v>
      </c>
      <c r="L91" s="574">
        <f t="shared" si="42"/>
        <v>0.36317349255216591</v>
      </c>
      <c r="M91" s="712" t="s">
        <v>877</v>
      </c>
      <c r="N91" s="568"/>
    </row>
    <row r="92" spans="1:14" s="625" customFormat="1" x14ac:dyDescent="0.2">
      <c r="A92" s="621">
        <v>2261</v>
      </c>
      <c r="B92" s="644" t="s">
        <v>55</v>
      </c>
      <c r="C92" s="623"/>
      <c r="D92" s="581"/>
      <c r="E92" s="623"/>
      <c r="F92" s="581"/>
      <c r="G92" s="581"/>
      <c r="H92" s="652">
        <f t="shared" si="39"/>
        <v>0</v>
      </c>
      <c r="I92" s="605" t="str">
        <f t="shared" si="40"/>
        <v>-</v>
      </c>
      <c r="J92" s="741"/>
      <c r="K92" s="582">
        <f t="shared" si="41"/>
        <v>0</v>
      </c>
      <c r="L92" s="583" t="str">
        <f t="shared" si="42"/>
        <v>-</v>
      </c>
      <c r="M92" s="713"/>
      <c r="N92" s="568"/>
    </row>
    <row r="93" spans="1:14" s="625" customFormat="1" x14ac:dyDescent="0.2">
      <c r="A93" s="621">
        <v>2262</v>
      </c>
      <c r="B93" s="644" t="s">
        <v>56</v>
      </c>
      <c r="C93" s="623"/>
      <c r="D93" s="581"/>
      <c r="E93" s="623"/>
      <c r="F93" s="581"/>
      <c r="G93" s="581"/>
      <c r="H93" s="652">
        <f t="shared" si="39"/>
        <v>0</v>
      </c>
      <c r="I93" s="605" t="str">
        <f t="shared" si="40"/>
        <v>-</v>
      </c>
      <c r="J93" s="741"/>
      <c r="K93" s="582">
        <f t="shared" si="41"/>
        <v>0</v>
      </c>
      <c r="L93" s="583" t="str">
        <f t="shared" si="42"/>
        <v>-</v>
      </c>
      <c r="M93" s="713"/>
      <c r="N93" s="568"/>
    </row>
    <row r="94" spans="1:14" s="625" customFormat="1" x14ac:dyDescent="0.2">
      <c r="A94" s="621">
        <v>2263</v>
      </c>
      <c r="B94" s="644" t="s">
        <v>57</v>
      </c>
      <c r="C94" s="623"/>
      <c r="D94" s="581"/>
      <c r="E94" s="623"/>
      <c r="F94" s="581"/>
      <c r="G94" s="581"/>
      <c r="H94" s="652">
        <f t="shared" si="39"/>
        <v>0</v>
      </c>
      <c r="I94" s="605" t="str">
        <f t="shared" si="40"/>
        <v>-</v>
      </c>
      <c r="J94" s="741"/>
      <c r="K94" s="582">
        <f t="shared" si="41"/>
        <v>0</v>
      </c>
      <c r="L94" s="583" t="str">
        <f t="shared" si="42"/>
        <v>-</v>
      </c>
      <c r="M94" s="713"/>
      <c r="N94" s="568"/>
    </row>
    <row r="95" spans="1:14" s="625" customFormat="1" x14ac:dyDescent="0.2">
      <c r="A95" s="621">
        <v>2264</v>
      </c>
      <c r="B95" s="644" t="s">
        <v>161</v>
      </c>
      <c r="C95" s="623">
        <f>31930</f>
        <v>31930</v>
      </c>
      <c r="D95" s="581">
        <v>33207</v>
      </c>
      <c r="E95" s="623">
        <f>31930</f>
        <v>31930</v>
      </c>
      <c r="F95" s="581">
        <v>33207</v>
      </c>
      <c r="G95" s="581">
        <v>43523.57</v>
      </c>
      <c r="H95" s="567">
        <f t="shared" si="39"/>
        <v>10316.57</v>
      </c>
      <c r="I95" s="605">
        <f t="shared" si="40"/>
        <v>0.31067455656939802</v>
      </c>
      <c r="J95" s="741"/>
      <c r="K95" s="582">
        <f t="shared" si="41"/>
        <v>11593.57</v>
      </c>
      <c r="L95" s="583">
        <f t="shared" si="42"/>
        <v>0.36309332915753212</v>
      </c>
      <c r="M95" s="713"/>
      <c r="N95" s="568"/>
    </row>
    <row r="96" spans="1:14" s="625" customFormat="1" ht="159.75" customHeight="1" x14ac:dyDescent="0.2">
      <c r="A96" s="621">
        <v>2269</v>
      </c>
      <c r="B96" s="644" t="s">
        <v>58</v>
      </c>
      <c r="C96" s="623">
        <v>227</v>
      </c>
      <c r="D96" s="581">
        <v>227</v>
      </c>
      <c r="E96" s="623">
        <v>227</v>
      </c>
      <c r="F96" s="581">
        <v>227</v>
      </c>
      <c r="G96" s="581">
        <v>312</v>
      </c>
      <c r="H96" s="652">
        <f t="shared" si="39"/>
        <v>85</v>
      </c>
      <c r="I96" s="605">
        <f t="shared" si="40"/>
        <v>0.37444933920704848</v>
      </c>
      <c r="J96" s="742"/>
      <c r="K96" s="582">
        <f t="shared" si="41"/>
        <v>85</v>
      </c>
      <c r="L96" s="583">
        <f t="shared" si="42"/>
        <v>0.37444933920704848</v>
      </c>
      <c r="M96" s="714"/>
      <c r="N96" s="568"/>
    </row>
    <row r="97" spans="1:14" s="625" customFormat="1" ht="19.5" customHeight="1" x14ac:dyDescent="0.2">
      <c r="A97" s="645">
        <v>2270</v>
      </c>
      <c r="B97" s="649" t="s">
        <v>429</v>
      </c>
      <c r="C97" s="648">
        <f t="shared" ref="C97:G97" si="51">SUM(C98:C101)</f>
        <v>5675</v>
      </c>
      <c r="D97" s="648">
        <v>4965</v>
      </c>
      <c r="E97" s="648">
        <f t="shared" ref="E97" si="52">SUM(E98:E101)</f>
        <v>5675</v>
      </c>
      <c r="F97" s="648">
        <v>4965</v>
      </c>
      <c r="G97" s="647">
        <f t="shared" si="51"/>
        <v>5260.48</v>
      </c>
      <c r="H97" s="573">
        <f t="shared" si="39"/>
        <v>295.47999999999956</v>
      </c>
      <c r="I97" s="574">
        <f t="shared" si="40"/>
        <v>5.9512588116817637E-2</v>
      </c>
      <c r="J97" s="712" t="s">
        <v>861</v>
      </c>
      <c r="K97" s="573">
        <f t="shared" si="41"/>
        <v>-414.52000000000044</v>
      </c>
      <c r="L97" s="574">
        <f t="shared" si="42"/>
        <v>-7.3043171806167484E-2</v>
      </c>
      <c r="M97" s="712" t="s">
        <v>880</v>
      </c>
      <c r="N97" s="568"/>
    </row>
    <row r="98" spans="1:14" s="625" customFormat="1" x14ac:dyDescent="0.2">
      <c r="A98" s="621">
        <v>2272</v>
      </c>
      <c r="B98" s="626" t="s">
        <v>59</v>
      </c>
      <c r="C98" s="623"/>
      <c r="D98" s="581"/>
      <c r="E98" s="623"/>
      <c r="F98" s="581"/>
      <c r="G98" s="581"/>
      <c r="H98" s="573">
        <f t="shared" si="39"/>
        <v>0</v>
      </c>
      <c r="I98" s="574" t="str">
        <f t="shared" si="40"/>
        <v>-</v>
      </c>
      <c r="J98" s="713"/>
      <c r="K98" s="582">
        <f t="shared" si="41"/>
        <v>0</v>
      </c>
      <c r="L98" s="583" t="str">
        <f t="shared" si="42"/>
        <v>-</v>
      </c>
      <c r="M98" s="713"/>
      <c r="N98" s="568"/>
    </row>
    <row r="99" spans="1:14" s="625" customFormat="1" ht="31.5" x14ac:dyDescent="0.2">
      <c r="A99" s="621">
        <v>2273</v>
      </c>
      <c r="B99" s="626" t="s">
        <v>60</v>
      </c>
      <c r="C99" s="623"/>
      <c r="D99" s="581"/>
      <c r="E99" s="623"/>
      <c r="F99" s="581"/>
      <c r="G99" s="581"/>
      <c r="H99" s="573">
        <f t="shared" si="39"/>
        <v>0</v>
      </c>
      <c r="I99" s="574" t="str">
        <f t="shared" si="40"/>
        <v>-</v>
      </c>
      <c r="J99" s="713"/>
      <c r="K99" s="582">
        <f t="shared" si="41"/>
        <v>0</v>
      </c>
      <c r="L99" s="583" t="str">
        <f t="shared" si="42"/>
        <v>-</v>
      </c>
      <c r="M99" s="713"/>
      <c r="N99" s="568"/>
    </row>
    <row r="100" spans="1:14" s="625" customFormat="1" ht="31.5" x14ac:dyDescent="0.2">
      <c r="A100" s="621">
        <v>2274</v>
      </c>
      <c r="B100" s="626" t="s">
        <v>430</v>
      </c>
      <c r="C100" s="623"/>
      <c r="D100" s="581"/>
      <c r="E100" s="623"/>
      <c r="F100" s="581"/>
      <c r="G100" s="581"/>
      <c r="H100" s="573">
        <f t="shared" si="39"/>
        <v>0</v>
      </c>
      <c r="I100" s="574" t="str">
        <f t="shared" si="40"/>
        <v>-</v>
      </c>
      <c r="J100" s="713"/>
      <c r="K100" s="582">
        <f t="shared" si="41"/>
        <v>0</v>
      </c>
      <c r="L100" s="583" t="str">
        <f t="shared" si="42"/>
        <v>-</v>
      </c>
      <c r="M100" s="713"/>
      <c r="N100" s="568"/>
    </row>
    <row r="101" spans="1:14" s="625" customFormat="1" ht="105" customHeight="1" x14ac:dyDescent="0.2">
      <c r="A101" s="621">
        <v>2276</v>
      </c>
      <c r="B101" s="626" t="s">
        <v>162</v>
      </c>
      <c r="C101" s="623">
        <v>5675</v>
      </c>
      <c r="D101" s="581">
        <v>4965</v>
      </c>
      <c r="E101" s="623">
        <v>5675</v>
      </c>
      <c r="F101" s="581">
        <v>4965</v>
      </c>
      <c r="G101" s="581">
        <v>5260.48</v>
      </c>
      <c r="H101" s="573">
        <f t="shared" si="39"/>
        <v>295.47999999999956</v>
      </c>
      <c r="I101" s="574">
        <f t="shared" si="40"/>
        <v>5.9512588116817637E-2</v>
      </c>
      <c r="J101" s="714"/>
      <c r="K101" s="582">
        <f t="shared" si="41"/>
        <v>-414.52000000000044</v>
      </c>
      <c r="L101" s="583">
        <f t="shared" si="42"/>
        <v>-7.3043171806167484E-2</v>
      </c>
      <c r="M101" s="714"/>
      <c r="N101" s="568"/>
    </row>
    <row r="102" spans="1:14" s="625" customFormat="1" ht="121.5" customHeight="1" x14ac:dyDescent="0.2">
      <c r="A102" s="645">
        <v>2280</v>
      </c>
      <c r="B102" s="624" t="s">
        <v>61</v>
      </c>
      <c r="C102" s="651">
        <v>4016</v>
      </c>
      <c r="D102" s="651">
        <v>4016</v>
      </c>
      <c r="E102" s="651">
        <v>4016</v>
      </c>
      <c r="F102" s="651">
        <v>4016</v>
      </c>
      <c r="G102" s="650">
        <v>2930.65</v>
      </c>
      <c r="H102" s="573">
        <f t="shared" si="39"/>
        <v>-1085.3499999999999</v>
      </c>
      <c r="I102" s="574">
        <f t="shared" si="40"/>
        <v>-0.27025647410358561</v>
      </c>
      <c r="J102" s="653" t="s">
        <v>862</v>
      </c>
      <c r="K102" s="589">
        <f t="shared" si="41"/>
        <v>-1085.3499999999999</v>
      </c>
      <c r="L102" s="574">
        <f t="shared" si="42"/>
        <v>-0.27025647410358561</v>
      </c>
      <c r="M102" s="653" t="s">
        <v>878</v>
      </c>
      <c r="N102" s="568"/>
    </row>
    <row r="103" spans="1:14" s="646" customFormat="1" ht="75" customHeight="1" x14ac:dyDescent="0.2">
      <c r="A103" s="570">
        <v>2300</v>
      </c>
      <c r="B103" s="624" t="s">
        <v>62</v>
      </c>
      <c r="C103" s="648">
        <f t="shared" ref="C103:G103" si="53">C104+C109+C113+C114+C128+C129+C136+C137+C138</f>
        <v>5467670</v>
      </c>
      <c r="D103" s="572">
        <v>5155575</v>
      </c>
      <c r="E103" s="648">
        <f t="shared" ref="E103" si="54">E104+E109+E113+E114+E128+E129+E136+E137+E138</f>
        <v>5467670</v>
      </c>
      <c r="F103" s="572">
        <v>5155575</v>
      </c>
      <c r="G103" s="572">
        <f t="shared" si="53"/>
        <v>4689057.6399999997</v>
      </c>
      <c r="H103" s="573">
        <f t="shared" si="39"/>
        <v>-466517.36000000034</v>
      </c>
      <c r="I103" s="574">
        <f t="shared" si="40"/>
        <v>-9.048793975453763E-2</v>
      </c>
      <c r="J103" s="655"/>
      <c r="K103" s="573">
        <f t="shared" si="41"/>
        <v>-778612.36000000034</v>
      </c>
      <c r="L103" s="574">
        <f t="shared" si="42"/>
        <v>-0.14240295409196246</v>
      </c>
      <c r="M103" s="655"/>
      <c r="N103" s="568"/>
    </row>
    <row r="104" spans="1:14" s="625" customFormat="1" ht="19.5" customHeight="1" x14ac:dyDescent="0.2">
      <c r="A104" s="645">
        <v>2310</v>
      </c>
      <c r="B104" s="624" t="s">
        <v>431</v>
      </c>
      <c r="C104" s="648">
        <f t="shared" ref="C104:G104" si="55">SUM(C105:C108)</f>
        <v>61171</v>
      </c>
      <c r="D104" s="648">
        <v>62782</v>
      </c>
      <c r="E104" s="648">
        <f t="shared" ref="E104" si="56">SUM(E105:E108)</f>
        <v>61171</v>
      </c>
      <c r="F104" s="648">
        <v>62782</v>
      </c>
      <c r="G104" s="647">
        <f t="shared" si="55"/>
        <v>98988.98000000001</v>
      </c>
      <c r="H104" s="573">
        <f t="shared" si="39"/>
        <v>36206.98000000001</v>
      </c>
      <c r="I104" s="574">
        <f t="shared" si="40"/>
        <v>0.57670956643623983</v>
      </c>
      <c r="J104" s="712" t="s">
        <v>863</v>
      </c>
      <c r="K104" s="573">
        <f t="shared" si="41"/>
        <v>37817.98000000001</v>
      </c>
      <c r="L104" s="574">
        <f t="shared" si="42"/>
        <v>0.61823380359974511</v>
      </c>
      <c r="M104" s="712" t="s">
        <v>935</v>
      </c>
      <c r="N104" s="568"/>
    </row>
    <row r="105" spans="1:14" s="625" customFormat="1" x14ac:dyDescent="0.2">
      <c r="A105" s="621">
        <v>2311</v>
      </c>
      <c r="B105" s="644" t="s">
        <v>63</v>
      </c>
      <c r="C105" s="623">
        <v>9779</v>
      </c>
      <c r="D105" s="581">
        <v>9779</v>
      </c>
      <c r="E105" s="623">
        <v>9779</v>
      </c>
      <c r="F105" s="581">
        <v>9779</v>
      </c>
      <c r="G105" s="581">
        <v>9243.19</v>
      </c>
      <c r="H105" s="573">
        <f t="shared" si="39"/>
        <v>-535.80999999999949</v>
      </c>
      <c r="I105" s="574">
        <f t="shared" si="40"/>
        <v>-5.4791901012373398E-2</v>
      </c>
      <c r="J105" s="713"/>
      <c r="K105" s="582">
        <f t="shared" si="41"/>
        <v>-535.80999999999949</v>
      </c>
      <c r="L105" s="583">
        <f t="shared" si="42"/>
        <v>-5.4791901012373398E-2</v>
      </c>
      <c r="M105" s="713"/>
      <c r="N105" s="568"/>
    </row>
    <row r="106" spans="1:14" s="625" customFormat="1" x14ac:dyDescent="0.2">
      <c r="A106" s="621">
        <v>2312</v>
      </c>
      <c r="B106" s="644" t="s">
        <v>64</v>
      </c>
      <c r="C106" s="623">
        <v>43447</v>
      </c>
      <c r="D106" s="581">
        <v>44750</v>
      </c>
      <c r="E106" s="623">
        <v>43447</v>
      </c>
      <c r="F106" s="581">
        <v>44750</v>
      </c>
      <c r="G106" s="581">
        <v>41273.06</v>
      </c>
      <c r="H106" s="573">
        <f t="shared" si="39"/>
        <v>-3476.9400000000023</v>
      </c>
      <c r="I106" s="574">
        <f t="shared" si="40"/>
        <v>-7.7696983240223519E-2</v>
      </c>
      <c r="J106" s="713"/>
      <c r="K106" s="582">
        <f t="shared" si="41"/>
        <v>-2173.9400000000023</v>
      </c>
      <c r="L106" s="583">
        <f t="shared" si="42"/>
        <v>-5.003659631274892E-2</v>
      </c>
      <c r="M106" s="713"/>
      <c r="N106" s="656"/>
    </row>
    <row r="107" spans="1:14" s="646" customFormat="1" x14ac:dyDescent="0.2">
      <c r="A107" s="621">
        <v>2313</v>
      </c>
      <c r="B107" s="644" t="s">
        <v>432</v>
      </c>
      <c r="C107" s="623">
        <v>7934</v>
      </c>
      <c r="D107" s="581">
        <v>8233</v>
      </c>
      <c r="E107" s="623">
        <v>7934</v>
      </c>
      <c r="F107" s="581">
        <v>8233</v>
      </c>
      <c r="G107" s="581">
        <v>48472.73</v>
      </c>
      <c r="H107" s="573">
        <f t="shared" si="39"/>
        <v>40239.730000000003</v>
      </c>
      <c r="I107" s="574">
        <f t="shared" si="40"/>
        <v>4.8876144783189606</v>
      </c>
      <c r="J107" s="713"/>
      <c r="K107" s="582">
        <f t="shared" si="41"/>
        <v>40538.730000000003</v>
      </c>
      <c r="L107" s="583">
        <f t="shared" si="42"/>
        <v>5.1094945802873708</v>
      </c>
      <c r="M107" s="713"/>
      <c r="N107" s="568"/>
    </row>
    <row r="108" spans="1:14" s="625" customFormat="1" ht="210" customHeight="1" x14ac:dyDescent="0.2">
      <c r="A108" s="621">
        <v>2314</v>
      </c>
      <c r="B108" s="626" t="s">
        <v>433</v>
      </c>
      <c r="C108" s="623">
        <v>11</v>
      </c>
      <c r="D108" s="581">
        <v>20</v>
      </c>
      <c r="E108" s="623">
        <v>11</v>
      </c>
      <c r="F108" s="581">
        <v>20</v>
      </c>
      <c r="G108" s="581"/>
      <c r="H108" s="573">
        <f t="shared" si="39"/>
        <v>-20</v>
      </c>
      <c r="I108" s="574">
        <f t="shared" si="40"/>
        <v>-1</v>
      </c>
      <c r="J108" s="714"/>
      <c r="K108" s="582">
        <f t="shared" si="41"/>
        <v>-11</v>
      </c>
      <c r="L108" s="583">
        <f t="shared" si="42"/>
        <v>-1</v>
      </c>
      <c r="M108" s="714"/>
      <c r="N108" s="568"/>
    </row>
    <row r="109" spans="1:14" s="625" customFormat="1" ht="43.5" customHeight="1" x14ac:dyDescent="0.2">
      <c r="A109" s="645">
        <v>2320</v>
      </c>
      <c r="B109" s="624" t="s">
        <v>65</v>
      </c>
      <c r="C109" s="648">
        <f t="shared" ref="C109:G109" si="57">SUM(C110:C112)</f>
        <v>1727</v>
      </c>
      <c r="D109" s="648">
        <v>1727</v>
      </c>
      <c r="E109" s="648">
        <f t="shared" ref="E109" si="58">SUM(E110:E112)</f>
        <v>1727</v>
      </c>
      <c r="F109" s="648">
        <v>1727</v>
      </c>
      <c r="G109" s="648">
        <f t="shared" si="57"/>
        <v>1415.88</v>
      </c>
      <c r="H109" s="573">
        <f t="shared" si="39"/>
        <v>-311.11999999999989</v>
      </c>
      <c r="I109" s="574">
        <f t="shared" si="40"/>
        <v>-0.18015055008685577</v>
      </c>
      <c r="J109" s="712" t="s">
        <v>912</v>
      </c>
      <c r="K109" s="573">
        <f t="shared" si="41"/>
        <v>-311.11999999999989</v>
      </c>
      <c r="L109" s="574">
        <f t="shared" si="42"/>
        <v>-0.18015055008685577</v>
      </c>
      <c r="M109" s="712" t="s">
        <v>875</v>
      </c>
      <c r="N109" s="568"/>
    </row>
    <row r="110" spans="1:14" s="625" customFormat="1" x14ac:dyDescent="0.2">
      <c r="A110" s="621">
        <v>2321</v>
      </c>
      <c r="B110" s="644" t="s">
        <v>66</v>
      </c>
      <c r="C110" s="623"/>
      <c r="D110" s="581"/>
      <c r="E110" s="623"/>
      <c r="F110" s="581"/>
      <c r="G110" s="581"/>
      <c r="H110" s="573">
        <f t="shared" si="39"/>
        <v>0</v>
      </c>
      <c r="I110" s="574" t="str">
        <f t="shared" si="40"/>
        <v>-</v>
      </c>
      <c r="J110" s="713"/>
      <c r="K110" s="582">
        <f t="shared" si="41"/>
        <v>0</v>
      </c>
      <c r="L110" s="583" t="str">
        <f t="shared" si="42"/>
        <v>-</v>
      </c>
      <c r="M110" s="713"/>
      <c r="N110" s="568"/>
    </row>
    <row r="111" spans="1:14" s="646" customFormat="1" x14ac:dyDescent="0.2">
      <c r="A111" s="621">
        <v>2322</v>
      </c>
      <c r="B111" s="644" t="s">
        <v>67</v>
      </c>
      <c r="C111" s="623">
        <v>1727</v>
      </c>
      <c r="D111" s="581">
        <v>1727</v>
      </c>
      <c r="E111" s="623">
        <v>1727</v>
      </c>
      <c r="F111" s="581">
        <v>1727</v>
      </c>
      <c r="G111" s="581">
        <v>1415.88</v>
      </c>
      <c r="H111" s="573">
        <f t="shared" si="39"/>
        <v>-311.11999999999989</v>
      </c>
      <c r="I111" s="574">
        <f t="shared" si="40"/>
        <v>-0.18015055008685577</v>
      </c>
      <c r="J111" s="713"/>
      <c r="K111" s="582">
        <f t="shared" si="41"/>
        <v>-311.11999999999989</v>
      </c>
      <c r="L111" s="583">
        <f t="shared" si="42"/>
        <v>-0.18015055008685577</v>
      </c>
      <c r="M111" s="713"/>
      <c r="N111" s="568"/>
    </row>
    <row r="112" spans="1:14" s="646" customFormat="1" x14ac:dyDescent="0.2">
      <c r="A112" s="621">
        <v>2329</v>
      </c>
      <c r="B112" s="644" t="s">
        <v>68</v>
      </c>
      <c r="C112" s="623"/>
      <c r="D112" s="581"/>
      <c r="E112" s="623"/>
      <c r="F112" s="581"/>
      <c r="G112" s="586"/>
      <c r="H112" s="573">
        <f t="shared" si="39"/>
        <v>0</v>
      </c>
      <c r="I112" s="574" t="str">
        <f t="shared" si="40"/>
        <v>-</v>
      </c>
      <c r="J112" s="714"/>
      <c r="K112" s="582">
        <f t="shared" si="41"/>
        <v>0</v>
      </c>
      <c r="L112" s="583" t="str">
        <f t="shared" si="42"/>
        <v>-</v>
      </c>
      <c r="M112" s="714"/>
      <c r="N112" s="568"/>
    </row>
    <row r="113" spans="1:14" s="625" customFormat="1" ht="19.5" customHeight="1" x14ac:dyDescent="0.2">
      <c r="A113" s="645">
        <v>2330</v>
      </c>
      <c r="B113" s="649" t="s">
        <v>69</v>
      </c>
      <c r="C113" s="651"/>
      <c r="D113" s="651"/>
      <c r="E113" s="651"/>
      <c r="F113" s="651"/>
      <c r="G113" s="657"/>
      <c r="H113" s="573">
        <f t="shared" si="39"/>
        <v>0</v>
      </c>
      <c r="I113" s="574" t="str">
        <f t="shared" si="40"/>
        <v>-</v>
      </c>
      <c r="J113" s="588"/>
      <c r="K113" s="589">
        <f t="shared" si="41"/>
        <v>0</v>
      </c>
      <c r="L113" s="574" t="str">
        <f t="shared" si="42"/>
        <v>-</v>
      </c>
      <c r="M113" s="588"/>
      <c r="N113" s="568"/>
    </row>
    <row r="114" spans="1:14" s="625" customFormat="1" ht="93.75" customHeight="1" x14ac:dyDescent="0.2">
      <c r="A114" s="645">
        <v>2340</v>
      </c>
      <c r="B114" s="624" t="s">
        <v>70</v>
      </c>
      <c r="C114" s="651">
        <f t="shared" ref="C114:G114" si="59">C115+C121+C124</f>
        <v>5206800</v>
      </c>
      <c r="D114" s="651">
        <v>4892574</v>
      </c>
      <c r="E114" s="651">
        <f t="shared" ref="E114" si="60">E115+E121+E124</f>
        <v>5206800</v>
      </c>
      <c r="F114" s="651">
        <v>4892574</v>
      </c>
      <c r="G114" s="657">
        <f t="shared" si="59"/>
        <v>4418149.4399999995</v>
      </c>
      <c r="H114" s="573">
        <f t="shared" si="39"/>
        <v>-474424.56000000052</v>
      </c>
      <c r="I114" s="574">
        <f t="shared" si="40"/>
        <v>-9.6968295216383144E-2</v>
      </c>
      <c r="J114" s="699"/>
      <c r="K114" s="589">
        <f t="shared" si="41"/>
        <v>-788650.56000000052</v>
      </c>
      <c r="L114" s="574">
        <f t="shared" si="42"/>
        <v>-0.15146549896289477</v>
      </c>
      <c r="M114" s="699"/>
      <c r="N114" s="568"/>
    </row>
    <row r="115" spans="1:14" s="625" customFormat="1" ht="45" customHeight="1" x14ac:dyDescent="0.2">
      <c r="A115" s="570">
        <v>2341</v>
      </c>
      <c r="B115" s="624" t="s">
        <v>71</v>
      </c>
      <c r="C115" s="648">
        <f t="shared" ref="C115:G115" si="61">SUM(C116:C120)</f>
        <v>567816</v>
      </c>
      <c r="D115" s="648">
        <v>549343</v>
      </c>
      <c r="E115" s="648">
        <f t="shared" ref="E115" si="62">SUM(E116:E120)</f>
        <v>567816</v>
      </c>
      <c r="F115" s="648">
        <v>549343</v>
      </c>
      <c r="G115" s="658">
        <f t="shared" si="61"/>
        <v>539218.02</v>
      </c>
      <c r="H115" s="573">
        <f t="shared" si="39"/>
        <v>-10124.979999999981</v>
      </c>
      <c r="I115" s="574">
        <f t="shared" si="40"/>
        <v>-1.8431071297895816E-2</v>
      </c>
      <c r="J115" s="695"/>
      <c r="K115" s="573">
        <f t="shared" si="41"/>
        <v>-28597.979999999981</v>
      </c>
      <c r="L115" s="574">
        <f t="shared" si="42"/>
        <v>-5.0364871719007533E-2</v>
      </c>
      <c r="M115" s="695"/>
      <c r="N115" s="568"/>
    </row>
    <row r="116" spans="1:14" s="625" customFormat="1" ht="64.5" customHeight="1" x14ac:dyDescent="0.2">
      <c r="A116" s="621">
        <v>23411</v>
      </c>
      <c r="B116" s="659" t="s">
        <v>328</v>
      </c>
      <c r="C116" s="660">
        <v>477720</v>
      </c>
      <c r="D116" s="581">
        <v>460999</v>
      </c>
      <c r="E116" s="660">
        <v>477720</v>
      </c>
      <c r="F116" s="581">
        <v>460999</v>
      </c>
      <c r="G116" s="586">
        <v>437316.27</v>
      </c>
      <c r="H116" s="573">
        <f t="shared" si="39"/>
        <v>-23682.729999999981</v>
      </c>
      <c r="I116" s="574">
        <f t="shared" si="40"/>
        <v>-5.1372627706350732E-2</v>
      </c>
      <c r="J116" s="700" t="s">
        <v>922</v>
      </c>
      <c r="K116" s="582">
        <f t="shared" si="41"/>
        <v>-40403.729999999981</v>
      </c>
      <c r="L116" s="583">
        <f t="shared" si="42"/>
        <v>-8.4576174328058237E-2</v>
      </c>
      <c r="M116" s="700" t="s">
        <v>924</v>
      </c>
      <c r="N116" s="568"/>
    </row>
    <row r="117" spans="1:14" s="625" customFormat="1" ht="94.5" x14ac:dyDescent="0.2">
      <c r="A117" s="621">
        <v>23412</v>
      </c>
      <c r="B117" s="659" t="s">
        <v>344</v>
      </c>
      <c r="C117" s="660">
        <v>35521</v>
      </c>
      <c r="D117" s="581">
        <v>34811</v>
      </c>
      <c r="E117" s="660">
        <v>35521</v>
      </c>
      <c r="F117" s="581">
        <v>34811</v>
      </c>
      <c r="G117" s="586">
        <v>32566.240000000002</v>
      </c>
      <c r="H117" s="573">
        <f t="shared" si="39"/>
        <v>-2244.7599999999984</v>
      </c>
      <c r="I117" s="574">
        <f t="shared" si="40"/>
        <v>-6.4484214759702341E-2</v>
      </c>
      <c r="J117" s="698" t="s">
        <v>926</v>
      </c>
      <c r="K117" s="582">
        <f t="shared" si="41"/>
        <v>-2954.7599999999984</v>
      </c>
      <c r="L117" s="583">
        <f t="shared" si="42"/>
        <v>-8.3183468933870061E-2</v>
      </c>
      <c r="M117" s="698" t="s">
        <v>925</v>
      </c>
      <c r="N117" s="568"/>
    </row>
    <row r="118" spans="1:14" s="625" customFormat="1" ht="63" x14ac:dyDescent="0.2">
      <c r="A118" s="621">
        <v>23413</v>
      </c>
      <c r="B118" s="659" t="s">
        <v>343</v>
      </c>
      <c r="C118" s="660">
        <v>54575</v>
      </c>
      <c r="D118" s="581">
        <v>53533</v>
      </c>
      <c r="E118" s="660">
        <v>54575</v>
      </c>
      <c r="F118" s="581">
        <v>53533</v>
      </c>
      <c r="G118" s="586">
        <v>69335.509999999995</v>
      </c>
      <c r="H118" s="573">
        <f t="shared" si="39"/>
        <v>15802.509999999995</v>
      </c>
      <c r="I118" s="574">
        <f t="shared" si="40"/>
        <v>0.29519193768329804</v>
      </c>
      <c r="J118" s="701" t="s">
        <v>937</v>
      </c>
      <c r="K118" s="582">
        <f t="shared" si="41"/>
        <v>14760.509999999995</v>
      </c>
      <c r="L118" s="583">
        <f t="shared" si="42"/>
        <v>0.27046284928996783</v>
      </c>
      <c r="M118" s="701" t="s">
        <v>937</v>
      </c>
      <c r="N118" s="568"/>
    </row>
    <row r="119" spans="1:14" s="625" customFormat="1" ht="31.5" x14ac:dyDescent="0.2">
      <c r="A119" s="621">
        <v>23415</v>
      </c>
      <c r="B119" s="659" t="s">
        <v>329</v>
      </c>
      <c r="C119" s="660"/>
      <c r="D119" s="581"/>
      <c r="E119" s="660"/>
      <c r="F119" s="581"/>
      <c r="G119" s="586"/>
      <c r="H119" s="573">
        <f t="shared" si="39"/>
        <v>0</v>
      </c>
      <c r="I119" s="574" t="str">
        <f t="shared" si="40"/>
        <v>-</v>
      </c>
      <c r="J119" s="702"/>
      <c r="K119" s="582">
        <f t="shared" si="41"/>
        <v>0</v>
      </c>
      <c r="L119" s="583" t="str">
        <f t="shared" si="42"/>
        <v>-</v>
      </c>
      <c r="M119" s="695"/>
      <c r="N119" s="568"/>
    </row>
    <row r="120" spans="1:14" s="625" customFormat="1" ht="54.75" customHeight="1" x14ac:dyDescent="0.2">
      <c r="A120" s="621">
        <v>23416</v>
      </c>
      <c r="B120" s="659" t="s">
        <v>330</v>
      </c>
      <c r="C120" s="660"/>
      <c r="D120" s="581"/>
      <c r="E120" s="660"/>
      <c r="F120" s="581"/>
      <c r="G120" s="586"/>
      <c r="H120" s="573">
        <f t="shared" si="39"/>
        <v>0</v>
      </c>
      <c r="I120" s="574" t="str">
        <f t="shared" si="40"/>
        <v>-</v>
      </c>
      <c r="J120" s="703"/>
      <c r="K120" s="582">
        <f t="shared" si="41"/>
        <v>0</v>
      </c>
      <c r="L120" s="583" t="str">
        <f t="shared" si="42"/>
        <v>-</v>
      </c>
      <c r="M120" s="695"/>
      <c r="N120" s="568"/>
    </row>
    <row r="121" spans="1:14" s="646" customFormat="1" ht="19.5" customHeight="1" x14ac:dyDescent="0.2">
      <c r="A121" s="570">
        <v>2343</v>
      </c>
      <c r="B121" s="624" t="s">
        <v>355</v>
      </c>
      <c r="C121" s="648">
        <f t="shared" ref="C121:G121" si="63">SUM(C122:C123)</f>
        <v>146785</v>
      </c>
      <c r="D121" s="648">
        <v>141647</v>
      </c>
      <c r="E121" s="648">
        <f t="shared" ref="E121" si="64">SUM(E122:E123)</f>
        <v>146785</v>
      </c>
      <c r="F121" s="648">
        <v>141647</v>
      </c>
      <c r="G121" s="658">
        <f t="shared" si="63"/>
        <v>124582.15</v>
      </c>
      <c r="H121" s="573">
        <f t="shared" si="39"/>
        <v>-17064.850000000006</v>
      </c>
      <c r="I121" s="574">
        <f t="shared" si="40"/>
        <v>-0.12047448939970494</v>
      </c>
      <c r="J121" s="715" t="s">
        <v>913</v>
      </c>
      <c r="K121" s="661">
        <f t="shared" si="41"/>
        <v>-22202.850000000006</v>
      </c>
      <c r="L121" s="574">
        <f t="shared" si="42"/>
        <v>-0.15126102803419972</v>
      </c>
      <c r="M121" s="715" t="s">
        <v>874</v>
      </c>
      <c r="N121" s="568"/>
    </row>
    <row r="122" spans="1:14" s="646" customFormat="1" x14ac:dyDescent="0.2">
      <c r="A122" s="621">
        <v>23431</v>
      </c>
      <c r="B122" s="659" t="s">
        <v>285</v>
      </c>
      <c r="C122" s="660">
        <v>146785</v>
      </c>
      <c r="D122" s="581">
        <v>141647</v>
      </c>
      <c r="E122" s="660">
        <v>146785</v>
      </c>
      <c r="F122" s="581">
        <v>141647</v>
      </c>
      <c r="G122" s="586">
        <v>124582.15</v>
      </c>
      <c r="H122" s="573">
        <f t="shared" si="39"/>
        <v>-17064.850000000006</v>
      </c>
      <c r="I122" s="574">
        <f t="shared" si="40"/>
        <v>-0.12047448939970494</v>
      </c>
      <c r="J122" s="716"/>
      <c r="K122" s="582">
        <f t="shared" si="41"/>
        <v>-22202.850000000006</v>
      </c>
      <c r="L122" s="583">
        <f t="shared" si="42"/>
        <v>-0.15126102803419972</v>
      </c>
      <c r="M122" s="716"/>
      <c r="N122" s="568"/>
    </row>
    <row r="123" spans="1:14" s="646" customFormat="1" ht="95.25" customHeight="1" x14ac:dyDescent="0.2">
      <c r="A123" s="621">
        <v>23432</v>
      </c>
      <c r="B123" s="659" t="s">
        <v>289</v>
      </c>
      <c r="C123" s="660"/>
      <c r="D123" s="581"/>
      <c r="E123" s="660"/>
      <c r="F123" s="581"/>
      <c r="G123" s="586"/>
      <c r="H123" s="573">
        <f t="shared" si="39"/>
        <v>0</v>
      </c>
      <c r="I123" s="574" t="str">
        <f t="shared" si="40"/>
        <v>-</v>
      </c>
      <c r="J123" s="717"/>
      <c r="K123" s="582">
        <f t="shared" si="41"/>
        <v>0</v>
      </c>
      <c r="L123" s="583" t="str">
        <f t="shared" si="42"/>
        <v>-</v>
      </c>
      <c r="M123" s="717"/>
      <c r="N123" s="568"/>
    </row>
    <row r="124" spans="1:14" s="646" customFormat="1" ht="96" customHeight="1" x14ac:dyDescent="0.2">
      <c r="A124" s="570">
        <v>2344</v>
      </c>
      <c r="B124" s="624" t="s">
        <v>357</v>
      </c>
      <c r="C124" s="648">
        <f t="shared" ref="C124:G124" si="65">SUM(C125:C127)</f>
        <v>4492199</v>
      </c>
      <c r="D124" s="648">
        <v>4201584</v>
      </c>
      <c r="E124" s="648">
        <f t="shared" ref="E124" si="66">SUM(E125:E127)</f>
        <v>4492199</v>
      </c>
      <c r="F124" s="648">
        <v>4201584</v>
      </c>
      <c r="G124" s="658">
        <f t="shared" si="65"/>
        <v>3754349.2699999996</v>
      </c>
      <c r="H124" s="573">
        <f t="shared" si="39"/>
        <v>-447234.73000000045</v>
      </c>
      <c r="I124" s="574">
        <f t="shared" si="40"/>
        <v>-0.10644431481079528</v>
      </c>
      <c r="J124" s="704"/>
      <c r="K124" s="573">
        <f t="shared" si="41"/>
        <v>-737849.73000000045</v>
      </c>
      <c r="L124" s="574">
        <f t="shared" si="42"/>
        <v>-0.16425134549916431</v>
      </c>
      <c r="M124" s="707"/>
      <c r="N124" s="568"/>
    </row>
    <row r="125" spans="1:14" s="646" customFormat="1" ht="28.5" customHeight="1" x14ac:dyDescent="0.2">
      <c r="A125" s="621">
        <v>23441</v>
      </c>
      <c r="B125" s="626" t="s">
        <v>286</v>
      </c>
      <c r="C125" s="623">
        <v>965591</v>
      </c>
      <c r="D125" s="581">
        <v>955921</v>
      </c>
      <c r="E125" s="623">
        <v>965591</v>
      </c>
      <c r="F125" s="581">
        <v>955921</v>
      </c>
      <c r="G125" s="586">
        <v>734162.2</v>
      </c>
      <c r="H125" s="573">
        <f t="shared" si="39"/>
        <v>-221758.80000000005</v>
      </c>
      <c r="I125" s="574">
        <f t="shared" si="40"/>
        <v>-0.23198444222901271</v>
      </c>
      <c r="J125" s="724" t="s">
        <v>938</v>
      </c>
      <c r="K125" s="582">
        <f t="shared" si="41"/>
        <v>-231428.80000000005</v>
      </c>
      <c r="L125" s="583">
        <f t="shared" si="42"/>
        <v>-0.23967580476620023</v>
      </c>
      <c r="M125" s="724" t="s">
        <v>938</v>
      </c>
      <c r="N125" s="568"/>
    </row>
    <row r="126" spans="1:14" s="646" customFormat="1" ht="31.5" customHeight="1" x14ac:dyDescent="0.2">
      <c r="A126" s="621">
        <v>23442</v>
      </c>
      <c r="B126" s="626" t="s">
        <v>287</v>
      </c>
      <c r="C126" s="623">
        <v>3511810</v>
      </c>
      <c r="D126" s="581">
        <v>3230865</v>
      </c>
      <c r="E126" s="623">
        <v>3511810</v>
      </c>
      <c r="F126" s="581">
        <v>3230865</v>
      </c>
      <c r="G126" s="586">
        <f>330.01+3001878.69</f>
        <v>3002208.6999999997</v>
      </c>
      <c r="H126" s="573">
        <f t="shared" si="39"/>
        <v>-228656.30000000028</v>
      </c>
      <c r="I126" s="574">
        <f t="shared" si="40"/>
        <v>-7.0772471149367203E-2</v>
      </c>
      <c r="J126" s="725"/>
      <c r="K126" s="582">
        <f t="shared" si="41"/>
        <v>-509601.30000000028</v>
      </c>
      <c r="L126" s="583">
        <f t="shared" si="42"/>
        <v>-0.14511072637756606</v>
      </c>
      <c r="M126" s="725"/>
      <c r="N126" s="568"/>
    </row>
    <row r="127" spans="1:14" s="646" customFormat="1" ht="213.75" customHeight="1" x14ac:dyDescent="0.2">
      <c r="A127" s="621">
        <v>23443</v>
      </c>
      <c r="B127" s="626" t="s">
        <v>288</v>
      </c>
      <c r="C127" s="623">
        <v>14798</v>
      </c>
      <c r="D127" s="581">
        <v>14798</v>
      </c>
      <c r="E127" s="623">
        <v>14798</v>
      </c>
      <c r="F127" s="581">
        <v>14798</v>
      </c>
      <c r="G127" s="586">
        <v>17978.37</v>
      </c>
      <c r="H127" s="573">
        <f t="shared" si="39"/>
        <v>3180.369999999999</v>
      </c>
      <c r="I127" s="574">
        <f t="shared" si="40"/>
        <v>0.21491890796053514</v>
      </c>
      <c r="J127" s="705"/>
      <c r="K127" s="582">
        <f t="shared" si="41"/>
        <v>3180.369999999999</v>
      </c>
      <c r="L127" s="583">
        <f t="shared" si="42"/>
        <v>0.21491890796053514</v>
      </c>
      <c r="M127" s="706" t="s">
        <v>923</v>
      </c>
      <c r="N127" s="568"/>
    </row>
    <row r="128" spans="1:14" s="625" customFormat="1" ht="128.25" customHeight="1" x14ac:dyDescent="0.2">
      <c r="A128" s="645">
        <v>2350</v>
      </c>
      <c r="B128" s="649" t="s">
        <v>434</v>
      </c>
      <c r="C128" s="651">
        <v>6070</v>
      </c>
      <c r="D128" s="651">
        <v>6070</v>
      </c>
      <c r="E128" s="651">
        <v>6070</v>
      </c>
      <c r="F128" s="651">
        <v>6070</v>
      </c>
      <c r="G128" s="650">
        <v>7152.33</v>
      </c>
      <c r="H128" s="573">
        <f t="shared" si="39"/>
        <v>1082.33</v>
      </c>
      <c r="I128" s="574">
        <f t="shared" si="40"/>
        <v>0.17830807248764413</v>
      </c>
      <c r="J128" s="653" t="s">
        <v>864</v>
      </c>
      <c r="K128" s="589">
        <f t="shared" si="41"/>
        <v>1082.33</v>
      </c>
      <c r="L128" s="574">
        <f t="shared" si="42"/>
        <v>0.17830807248764413</v>
      </c>
      <c r="M128" s="653" t="s">
        <v>865</v>
      </c>
      <c r="N128" s="568"/>
    </row>
    <row r="129" spans="1:14" s="625" customFormat="1" ht="56.25" customHeight="1" x14ac:dyDescent="0.2">
      <c r="A129" s="645">
        <v>2360</v>
      </c>
      <c r="B129" s="624" t="s">
        <v>435</v>
      </c>
      <c r="C129" s="648">
        <f t="shared" ref="C129:G129" si="67">SUM(C130:C135)</f>
        <v>191702</v>
      </c>
      <c r="D129" s="648">
        <v>192247</v>
      </c>
      <c r="E129" s="648">
        <f t="shared" ref="E129" si="68">SUM(E130:E135)</f>
        <v>191702</v>
      </c>
      <c r="F129" s="648">
        <v>192247</v>
      </c>
      <c r="G129" s="647">
        <f t="shared" si="67"/>
        <v>163351.00999999998</v>
      </c>
      <c r="H129" s="573">
        <f t="shared" si="39"/>
        <v>-28895.99000000002</v>
      </c>
      <c r="I129" s="574">
        <f t="shared" si="40"/>
        <v>-0.15030658475814979</v>
      </c>
      <c r="J129" s="718" t="s">
        <v>921</v>
      </c>
      <c r="K129" s="573">
        <f t="shared" si="41"/>
        <v>-28350.99000000002</v>
      </c>
      <c r="L129" s="574">
        <f t="shared" si="42"/>
        <v>-0.14789094532138433</v>
      </c>
      <c r="M129" s="712" t="s">
        <v>879</v>
      </c>
      <c r="N129" s="568"/>
    </row>
    <row r="130" spans="1:14" s="625" customFormat="1" x14ac:dyDescent="0.2">
      <c r="A130" s="621">
        <v>2361</v>
      </c>
      <c r="B130" s="626" t="s">
        <v>72</v>
      </c>
      <c r="C130" s="623">
        <v>3567</v>
      </c>
      <c r="D130" s="581">
        <v>9667</v>
      </c>
      <c r="E130" s="623">
        <v>3567</v>
      </c>
      <c r="F130" s="581">
        <v>9667</v>
      </c>
      <c r="G130" s="581">
        <v>10298.35</v>
      </c>
      <c r="H130" s="573">
        <f t="shared" si="39"/>
        <v>631.35000000000036</v>
      </c>
      <c r="I130" s="574">
        <f t="shared" si="40"/>
        <v>6.5309816902865456E-2</v>
      </c>
      <c r="J130" s="719"/>
      <c r="K130" s="582">
        <f t="shared" si="41"/>
        <v>6731.35</v>
      </c>
      <c r="L130" s="583">
        <f t="shared" si="42"/>
        <v>1.8871180263526774</v>
      </c>
      <c r="M130" s="713"/>
      <c r="N130" s="568"/>
    </row>
    <row r="131" spans="1:14" s="625" customFormat="1" ht="31.5" x14ac:dyDescent="0.2">
      <c r="A131" s="621">
        <v>2362</v>
      </c>
      <c r="B131" s="626" t="s">
        <v>73</v>
      </c>
      <c r="C131" s="623">
        <v>1418</v>
      </c>
      <c r="D131" s="581">
        <v>1465</v>
      </c>
      <c r="E131" s="623">
        <v>1418</v>
      </c>
      <c r="F131" s="581">
        <v>1465</v>
      </c>
      <c r="G131" s="581">
        <v>97.86</v>
      </c>
      <c r="H131" s="573">
        <f t="shared" si="39"/>
        <v>-1367.14</v>
      </c>
      <c r="I131" s="574">
        <f t="shared" si="40"/>
        <v>-0.93320136518771335</v>
      </c>
      <c r="J131" s="719"/>
      <c r="K131" s="582">
        <f t="shared" si="41"/>
        <v>-1320.14</v>
      </c>
      <c r="L131" s="583">
        <f t="shared" si="42"/>
        <v>-0.93098730606488023</v>
      </c>
      <c r="M131" s="713"/>
      <c r="N131" s="568"/>
    </row>
    <row r="132" spans="1:14" s="625" customFormat="1" x14ac:dyDescent="0.2">
      <c r="A132" s="621">
        <v>2363</v>
      </c>
      <c r="B132" s="626" t="s">
        <v>74</v>
      </c>
      <c r="C132" s="623">
        <v>186717</v>
      </c>
      <c r="D132" s="581">
        <v>181115</v>
      </c>
      <c r="E132" s="623">
        <v>186717</v>
      </c>
      <c r="F132" s="581">
        <v>181115</v>
      </c>
      <c r="G132" s="586">
        <v>152954.79999999999</v>
      </c>
      <c r="H132" s="573">
        <f t="shared" ref="H132:H193" si="69">G132-F132</f>
        <v>-28160.200000000012</v>
      </c>
      <c r="I132" s="574">
        <f t="shared" ref="I132:I193" si="70">IFERROR(H132/ABS(F132), "-")</f>
        <v>-0.15548242829141712</v>
      </c>
      <c r="J132" s="719"/>
      <c r="K132" s="582">
        <f t="shared" ref="K132:K193" si="71">G132-E132</f>
        <v>-33762.200000000012</v>
      </c>
      <c r="L132" s="583">
        <f t="shared" ref="L132:L193" si="72">IFERROR(K132/ABS(E132), "-")</f>
        <v>-0.18082017170370138</v>
      </c>
      <c r="M132" s="713"/>
      <c r="N132" s="568"/>
    </row>
    <row r="133" spans="1:14" s="625" customFormat="1" x14ac:dyDescent="0.2">
      <c r="A133" s="621">
        <v>2364</v>
      </c>
      <c r="B133" s="626" t="s">
        <v>436</v>
      </c>
      <c r="C133" s="623"/>
      <c r="D133" s="581"/>
      <c r="E133" s="623"/>
      <c r="F133" s="581"/>
      <c r="G133" s="581"/>
      <c r="H133" s="573">
        <f t="shared" si="69"/>
        <v>0</v>
      </c>
      <c r="I133" s="574" t="str">
        <f t="shared" si="70"/>
        <v>-</v>
      </c>
      <c r="J133" s="719"/>
      <c r="K133" s="582">
        <f t="shared" si="71"/>
        <v>0</v>
      </c>
      <c r="L133" s="583" t="str">
        <f t="shared" si="72"/>
        <v>-</v>
      </c>
      <c r="M133" s="713"/>
      <c r="N133" s="568"/>
    </row>
    <row r="134" spans="1:14" s="646" customFormat="1" ht="47.25" x14ac:dyDescent="0.2">
      <c r="A134" s="621">
        <v>2366</v>
      </c>
      <c r="B134" s="626" t="s">
        <v>75</v>
      </c>
      <c r="C134" s="623"/>
      <c r="D134" s="581"/>
      <c r="E134" s="623"/>
      <c r="F134" s="581"/>
      <c r="G134" s="581"/>
      <c r="H134" s="573">
        <f t="shared" si="69"/>
        <v>0</v>
      </c>
      <c r="I134" s="574" t="str">
        <f t="shared" si="70"/>
        <v>-</v>
      </c>
      <c r="J134" s="719"/>
      <c r="K134" s="582">
        <f t="shared" si="71"/>
        <v>0</v>
      </c>
      <c r="L134" s="583" t="str">
        <f t="shared" si="72"/>
        <v>-</v>
      </c>
      <c r="M134" s="713"/>
      <c r="N134" s="568"/>
    </row>
    <row r="135" spans="1:14" s="646" customFormat="1" ht="156.75" customHeight="1" x14ac:dyDescent="0.2">
      <c r="A135" s="621">
        <v>2369</v>
      </c>
      <c r="B135" s="626" t="s">
        <v>163</v>
      </c>
      <c r="C135" s="623"/>
      <c r="D135" s="581"/>
      <c r="E135" s="623"/>
      <c r="F135" s="581"/>
      <c r="G135" s="581"/>
      <c r="H135" s="573">
        <f t="shared" si="69"/>
        <v>0</v>
      </c>
      <c r="I135" s="574" t="str">
        <f t="shared" si="70"/>
        <v>-</v>
      </c>
      <c r="J135" s="720"/>
      <c r="K135" s="582">
        <f t="shared" si="71"/>
        <v>0</v>
      </c>
      <c r="L135" s="583" t="str">
        <f t="shared" si="72"/>
        <v>-</v>
      </c>
      <c r="M135" s="714"/>
      <c r="N135" s="568"/>
    </row>
    <row r="136" spans="1:14" s="625" customFormat="1" ht="19.5" customHeight="1" x14ac:dyDescent="0.2">
      <c r="A136" s="645">
        <v>2370</v>
      </c>
      <c r="B136" s="649" t="s">
        <v>76</v>
      </c>
      <c r="C136" s="651"/>
      <c r="D136" s="587"/>
      <c r="E136" s="651"/>
      <c r="F136" s="587"/>
      <c r="G136" s="587"/>
      <c r="H136" s="573">
        <f t="shared" si="69"/>
        <v>0</v>
      </c>
      <c r="I136" s="574" t="str">
        <f t="shared" si="70"/>
        <v>-</v>
      </c>
      <c r="J136" s="588"/>
      <c r="K136" s="589">
        <f t="shared" si="71"/>
        <v>0</v>
      </c>
      <c r="L136" s="574" t="str">
        <f t="shared" si="72"/>
        <v>-</v>
      </c>
      <c r="M136" s="588"/>
      <c r="N136" s="568"/>
    </row>
    <row r="137" spans="1:14" s="625" customFormat="1" ht="19.5" customHeight="1" x14ac:dyDescent="0.2">
      <c r="A137" s="645">
        <v>2380</v>
      </c>
      <c r="B137" s="649" t="s">
        <v>77</v>
      </c>
      <c r="C137" s="651"/>
      <c r="D137" s="651"/>
      <c r="E137" s="651"/>
      <c r="F137" s="651"/>
      <c r="G137" s="651"/>
      <c r="H137" s="573">
        <f t="shared" si="69"/>
        <v>0</v>
      </c>
      <c r="I137" s="574" t="str">
        <f t="shared" si="70"/>
        <v>-</v>
      </c>
      <c r="J137" s="588"/>
      <c r="K137" s="589">
        <f t="shared" si="71"/>
        <v>0</v>
      </c>
      <c r="L137" s="574" t="str">
        <f t="shared" si="72"/>
        <v>-</v>
      </c>
      <c r="M137" s="588"/>
      <c r="N137" s="568"/>
    </row>
    <row r="138" spans="1:14" ht="63" x14ac:dyDescent="0.2">
      <c r="A138" s="570">
        <v>2390</v>
      </c>
      <c r="B138" s="649" t="s">
        <v>78</v>
      </c>
      <c r="C138" s="651">
        <f>175+25</f>
        <v>200</v>
      </c>
      <c r="D138" s="587">
        <v>175</v>
      </c>
      <c r="E138" s="651">
        <f>175+25</f>
        <v>200</v>
      </c>
      <c r="F138" s="587">
        <v>175</v>
      </c>
      <c r="G138" s="587"/>
      <c r="H138" s="573">
        <f t="shared" si="69"/>
        <v>-175</v>
      </c>
      <c r="I138" s="574">
        <f t="shared" si="70"/>
        <v>-1</v>
      </c>
      <c r="J138" s="653" t="s">
        <v>868</v>
      </c>
      <c r="K138" s="589">
        <f t="shared" si="71"/>
        <v>-200</v>
      </c>
      <c r="L138" s="574">
        <f t="shared" si="72"/>
        <v>-1</v>
      </c>
      <c r="M138" s="653" t="s">
        <v>869</v>
      </c>
    </row>
    <row r="139" spans="1:14" ht="37.5" customHeight="1" x14ac:dyDescent="0.2">
      <c r="A139" s="570">
        <v>2500</v>
      </c>
      <c r="B139" s="624" t="s">
        <v>437</v>
      </c>
      <c r="C139" s="647">
        <f t="shared" ref="C139:G139" si="73">SUM(C140+C148)</f>
        <v>910441.99</v>
      </c>
      <c r="D139" s="648">
        <v>869755</v>
      </c>
      <c r="E139" s="647">
        <f t="shared" ref="E139" si="74">SUM(E140+E148)</f>
        <v>910441.99</v>
      </c>
      <c r="F139" s="648">
        <v>869755</v>
      </c>
      <c r="G139" s="647">
        <f t="shared" si="73"/>
        <v>848988.59</v>
      </c>
      <c r="H139" s="573">
        <f t="shared" si="69"/>
        <v>-20766.410000000033</v>
      </c>
      <c r="I139" s="574">
        <f t="shared" si="70"/>
        <v>-2.3876160527964808E-2</v>
      </c>
      <c r="J139" s="655"/>
      <c r="K139" s="573">
        <f t="shared" si="71"/>
        <v>-61453.400000000023</v>
      </c>
      <c r="L139" s="574">
        <f t="shared" si="72"/>
        <v>-6.7498424583866151E-2</v>
      </c>
      <c r="M139" s="655"/>
    </row>
    <row r="140" spans="1:14" ht="19.5" customHeight="1" x14ac:dyDescent="0.2">
      <c r="A140" s="570">
        <v>2510</v>
      </c>
      <c r="B140" s="649" t="s">
        <v>438</v>
      </c>
      <c r="C140" s="647">
        <f t="shared" ref="C140:G140" si="75">SUM(C141:C147)</f>
        <v>910441.99</v>
      </c>
      <c r="D140" s="648">
        <v>869755</v>
      </c>
      <c r="E140" s="647">
        <f t="shared" ref="E140" si="76">SUM(E141:E147)</f>
        <v>910441.99</v>
      </c>
      <c r="F140" s="648">
        <v>869755</v>
      </c>
      <c r="G140" s="647">
        <f t="shared" si="75"/>
        <v>848988.59</v>
      </c>
      <c r="H140" s="573">
        <f t="shared" si="69"/>
        <v>-20766.410000000033</v>
      </c>
      <c r="I140" s="574">
        <f t="shared" si="70"/>
        <v>-2.3876160527964808E-2</v>
      </c>
      <c r="J140" s="689"/>
      <c r="K140" s="573">
        <f t="shared" si="71"/>
        <v>-61453.400000000023</v>
      </c>
      <c r="L140" s="574">
        <f t="shared" si="72"/>
        <v>-6.7498424583866151E-2</v>
      </c>
      <c r="M140" s="712" t="s">
        <v>870</v>
      </c>
    </row>
    <row r="141" spans="1:14" ht="55.5" customHeight="1" x14ac:dyDescent="0.2">
      <c r="A141" s="621">
        <v>2512</v>
      </c>
      <c r="B141" s="626" t="s">
        <v>79</v>
      </c>
      <c r="C141" s="623">
        <v>892347</v>
      </c>
      <c r="D141" s="581">
        <v>851955</v>
      </c>
      <c r="E141" s="623">
        <v>892347</v>
      </c>
      <c r="F141" s="581">
        <v>851955</v>
      </c>
      <c r="G141" s="662">
        <f>826922.89+45.53</f>
        <v>826968.42</v>
      </c>
      <c r="H141" s="573">
        <f t="shared" si="69"/>
        <v>-24986.579999999958</v>
      </c>
      <c r="I141" s="574">
        <f t="shared" si="70"/>
        <v>-2.9328520872581251E-2</v>
      </c>
      <c r="J141" s="690"/>
      <c r="K141" s="582">
        <f t="shared" si="71"/>
        <v>-65378.579999999958</v>
      </c>
      <c r="L141" s="583">
        <f t="shared" si="72"/>
        <v>-7.326587078793334E-2</v>
      </c>
      <c r="M141" s="713"/>
    </row>
    <row r="142" spans="1:14" ht="55.5" customHeight="1" x14ac:dyDescent="0.2">
      <c r="A142" s="621">
        <v>2513</v>
      </c>
      <c r="B142" s="626" t="s">
        <v>439</v>
      </c>
      <c r="C142" s="662">
        <f>8961.89+2644.1</f>
        <v>11605.99</v>
      </c>
      <c r="D142" s="581">
        <v>11606</v>
      </c>
      <c r="E142" s="662">
        <f>8961.89+2644.1</f>
        <v>11605.99</v>
      </c>
      <c r="F142" s="581">
        <v>11606</v>
      </c>
      <c r="G142" s="581">
        <f>8961.89+2644.1</f>
        <v>11605.99</v>
      </c>
      <c r="H142" s="573">
        <f t="shared" si="69"/>
        <v>-1.0000000000218279E-2</v>
      </c>
      <c r="I142" s="574">
        <f t="shared" si="70"/>
        <v>-8.6162329831279323E-7</v>
      </c>
      <c r="J142" s="690"/>
      <c r="K142" s="582">
        <f t="shared" si="71"/>
        <v>0</v>
      </c>
      <c r="L142" s="583">
        <f t="shared" si="72"/>
        <v>0</v>
      </c>
      <c r="M142" s="713"/>
    </row>
    <row r="143" spans="1:14" s="656" customFormat="1" ht="55.5" customHeight="1" x14ac:dyDescent="0.2">
      <c r="A143" s="621">
        <v>2514</v>
      </c>
      <c r="B143" s="626" t="s">
        <v>80</v>
      </c>
      <c r="C143" s="623"/>
      <c r="D143" s="581"/>
      <c r="E143" s="623"/>
      <c r="F143" s="581"/>
      <c r="G143" s="581"/>
      <c r="H143" s="573">
        <f t="shared" si="69"/>
        <v>0</v>
      </c>
      <c r="I143" s="574" t="str">
        <f t="shared" si="70"/>
        <v>-</v>
      </c>
      <c r="J143" s="690"/>
      <c r="K143" s="582">
        <f t="shared" si="71"/>
        <v>0</v>
      </c>
      <c r="L143" s="583" t="str">
        <f t="shared" si="72"/>
        <v>-</v>
      </c>
      <c r="M143" s="713"/>
      <c r="N143" s="568"/>
    </row>
    <row r="144" spans="1:14" ht="47.25" x14ac:dyDescent="0.2">
      <c r="A144" s="621">
        <v>2515</v>
      </c>
      <c r="B144" s="626" t="s">
        <v>81</v>
      </c>
      <c r="C144" s="623">
        <v>3672</v>
      </c>
      <c r="D144" s="581">
        <v>3377</v>
      </c>
      <c r="E144" s="623">
        <v>3672</v>
      </c>
      <c r="F144" s="581">
        <v>3377</v>
      </c>
      <c r="G144" s="581">
        <v>7482.34</v>
      </c>
      <c r="H144" s="573">
        <f t="shared" si="69"/>
        <v>4105.34</v>
      </c>
      <c r="I144" s="574">
        <f t="shared" si="70"/>
        <v>1.2156766360675155</v>
      </c>
      <c r="J144" s="708" t="s">
        <v>920</v>
      </c>
      <c r="K144" s="582">
        <f t="shared" si="71"/>
        <v>3810.34</v>
      </c>
      <c r="L144" s="583">
        <f t="shared" si="72"/>
        <v>1.0376742919389979</v>
      </c>
      <c r="M144" s="713"/>
    </row>
    <row r="145" spans="1:14" ht="63" x14ac:dyDescent="0.2">
      <c r="A145" s="621">
        <v>2516</v>
      </c>
      <c r="B145" s="626" t="s">
        <v>164</v>
      </c>
      <c r="C145" s="623"/>
      <c r="D145" s="581"/>
      <c r="E145" s="623"/>
      <c r="F145" s="581"/>
      <c r="G145" s="581"/>
      <c r="H145" s="573">
        <f t="shared" si="69"/>
        <v>0</v>
      </c>
      <c r="I145" s="574" t="str">
        <f t="shared" si="70"/>
        <v>-</v>
      </c>
      <c r="J145" s="690"/>
      <c r="K145" s="582">
        <f t="shared" si="71"/>
        <v>0</v>
      </c>
      <c r="L145" s="583" t="str">
        <f t="shared" si="72"/>
        <v>-</v>
      </c>
      <c r="M145" s="713"/>
    </row>
    <row r="146" spans="1:14" ht="18.75" customHeight="1" x14ac:dyDescent="0.2">
      <c r="A146" s="563">
        <v>2518</v>
      </c>
      <c r="B146" s="659" t="s">
        <v>82</v>
      </c>
      <c r="C146" s="660">
        <v>2817</v>
      </c>
      <c r="D146" s="581">
        <v>2817</v>
      </c>
      <c r="E146" s="660">
        <v>2817</v>
      </c>
      <c r="F146" s="581">
        <v>2817</v>
      </c>
      <c r="G146" s="581">
        <v>2931.84</v>
      </c>
      <c r="H146" s="573">
        <f t="shared" si="69"/>
        <v>114.84000000000015</v>
      </c>
      <c r="I146" s="574">
        <f t="shared" si="70"/>
        <v>4.0766773162939349E-2</v>
      </c>
      <c r="J146" s="690"/>
      <c r="K146" s="582">
        <f t="shared" si="71"/>
        <v>114.84000000000015</v>
      </c>
      <c r="L146" s="583">
        <f t="shared" si="72"/>
        <v>4.0766773162939349E-2</v>
      </c>
      <c r="M146" s="713"/>
    </row>
    <row r="147" spans="1:14" s="578" customFormat="1" ht="274.5" customHeight="1" x14ac:dyDescent="0.2">
      <c r="A147" s="621">
        <v>2519</v>
      </c>
      <c r="B147" s="626" t="s">
        <v>83</v>
      </c>
      <c r="C147" s="623"/>
      <c r="D147" s="581"/>
      <c r="E147" s="623"/>
      <c r="F147" s="581"/>
      <c r="G147" s="581"/>
      <c r="H147" s="573">
        <f t="shared" si="69"/>
        <v>0</v>
      </c>
      <c r="I147" s="574" t="str">
        <f t="shared" si="70"/>
        <v>-</v>
      </c>
      <c r="J147" s="691"/>
      <c r="K147" s="582">
        <f t="shared" si="71"/>
        <v>0</v>
      </c>
      <c r="L147" s="583" t="str">
        <f t="shared" si="72"/>
        <v>-</v>
      </c>
      <c r="M147" s="714"/>
      <c r="N147" s="568"/>
    </row>
    <row r="148" spans="1:14" ht="56.25" customHeight="1" x14ac:dyDescent="0.2">
      <c r="A148" s="615">
        <v>2520</v>
      </c>
      <c r="B148" s="630" t="s">
        <v>440</v>
      </c>
      <c r="C148" s="631"/>
      <c r="D148" s="592"/>
      <c r="E148" s="631"/>
      <c r="F148" s="592"/>
      <c r="G148" s="592"/>
      <c r="H148" s="573">
        <f t="shared" si="69"/>
        <v>0</v>
      </c>
      <c r="I148" s="574" t="str">
        <f t="shared" si="70"/>
        <v>-</v>
      </c>
      <c r="J148" s="663"/>
      <c r="K148" s="594">
        <f t="shared" si="71"/>
        <v>0</v>
      </c>
      <c r="L148" s="595" t="str">
        <f t="shared" si="72"/>
        <v>-</v>
      </c>
      <c r="M148" s="635"/>
    </row>
    <row r="149" spans="1:14" ht="75" customHeight="1" x14ac:dyDescent="0.2">
      <c r="A149" s="615">
        <v>2800</v>
      </c>
      <c r="B149" s="664" t="s">
        <v>84</v>
      </c>
      <c r="C149" s="657"/>
      <c r="D149" s="592"/>
      <c r="E149" s="657"/>
      <c r="F149" s="592"/>
      <c r="G149" s="592"/>
      <c r="H149" s="573">
        <f t="shared" si="69"/>
        <v>0</v>
      </c>
      <c r="I149" s="574" t="str">
        <f t="shared" si="70"/>
        <v>-</v>
      </c>
      <c r="J149" s="663"/>
      <c r="K149" s="594">
        <f t="shared" si="71"/>
        <v>0</v>
      </c>
      <c r="L149" s="595" t="str">
        <f t="shared" si="72"/>
        <v>-</v>
      </c>
      <c r="M149" s="635"/>
    </row>
    <row r="150" spans="1:14" ht="19.5" customHeight="1" x14ac:dyDescent="0.2">
      <c r="A150" s="570">
        <v>4000</v>
      </c>
      <c r="B150" s="577" t="s">
        <v>85</v>
      </c>
      <c r="C150" s="572">
        <f t="shared" ref="C150:G150" si="77">C151+C154+C158</f>
        <v>0</v>
      </c>
      <c r="D150" s="572">
        <v>0</v>
      </c>
      <c r="E150" s="572">
        <f t="shared" ref="E150" si="78">E151+E154+E158</f>
        <v>0</v>
      </c>
      <c r="F150" s="572">
        <v>0</v>
      </c>
      <c r="G150" s="572">
        <f t="shared" si="77"/>
        <v>0</v>
      </c>
      <c r="H150" s="573">
        <f t="shared" si="69"/>
        <v>0</v>
      </c>
      <c r="I150" s="574" t="str">
        <f t="shared" si="70"/>
        <v>-</v>
      </c>
      <c r="J150" s="655"/>
      <c r="K150" s="573">
        <f t="shared" si="71"/>
        <v>0</v>
      </c>
      <c r="L150" s="574" t="str">
        <f t="shared" si="72"/>
        <v>-</v>
      </c>
      <c r="M150" s="610"/>
    </row>
    <row r="151" spans="1:14" ht="56.25" customHeight="1" x14ac:dyDescent="0.2">
      <c r="A151" s="665">
        <v>4100</v>
      </c>
      <c r="B151" s="624" t="s">
        <v>86</v>
      </c>
      <c r="C151" s="648">
        <f t="shared" ref="C151:G151" si="79">SUM(C152:C153)</f>
        <v>0</v>
      </c>
      <c r="D151" s="648">
        <v>0</v>
      </c>
      <c r="E151" s="648">
        <f t="shared" ref="E151" si="80">SUM(E152:E153)</f>
        <v>0</v>
      </c>
      <c r="F151" s="648">
        <v>0</v>
      </c>
      <c r="G151" s="648">
        <f t="shared" si="79"/>
        <v>0</v>
      </c>
      <c r="H151" s="573">
        <f t="shared" si="69"/>
        <v>0</v>
      </c>
      <c r="I151" s="574" t="str">
        <f t="shared" si="70"/>
        <v>-</v>
      </c>
      <c r="J151" s="709"/>
      <c r="K151" s="573">
        <f t="shared" si="71"/>
        <v>0</v>
      </c>
      <c r="L151" s="574" t="str">
        <f t="shared" si="72"/>
        <v>-</v>
      </c>
      <c r="M151" s="721"/>
    </row>
    <row r="152" spans="1:14" ht="56.25" customHeight="1" x14ac:dyDescent="0.2">
      <c r="A152" s="666">
        <v>4110</v>
      </c>
      <c r="B152" s="626" t="s">
        <v>352</v>
      </c>
      <c r="C152" s="623"/>
      <c r="D152" s="581"/>
      <c r="E152" s="623"/>
      <c r="F152" s="581"/>
      <c r="G152" s="581"/>
      <c r="H152" s="573">
        <f t="shared" si="69"/>
        <v>0</v>
      </c>
      <c r="I152" s="574" t="str">
        <f t="shared" si="70"/>
        <v>-</v>
      </c>
      <c r="J152" s="710"/>
      <c r="K152" s="582">
        <f t="shared" si="71"/>
        <v>0</v>
      </c>
      <c r="L152" s="583" t="str">
        <f t="shared" si="72"/>
        <v>-</v>
      </c>
      <c r="M152" s="722"/>
    </row>
    <row r="153" spans="1:14" ht="75" customHeight="1" x14ac:dyDescent="0.2">
      <c r="A153" s="666">
        <v>4130</v>
      </c>
      <c r="B153" s="626" t="s">
        <v>87</v>
      </c>
      <c r="C153" s="623"/>
      <c r="D153" s="581"/>
      <c r="E153" s="623"/>
      <c r="F153" s="581"/>
      <c r="G153" s="581"/>
      <c r="H153" s="573">
        <f t="shared" si="69"/>
        <v>0</v>
      </c>
      <c r="I153" s="574" t="str">
        <f t="shared" si="70"/>
        <v>-</v>
      </c>
      <c r="J153" s="711"/>
      <c r="K153" s="582">
        <f t="shared" si="71"/>
        <v>0</v>
      </c>
      <c r="L153" s="583" t="str">
        <f t="shared" si="72"/>
        <v>-</v>
      </c>
      <c r="M153" s="723"/>
    </row>
    <row r="154" spans="1:14" ht="19.5" customHeight="1" x14ac:dyDescent="0.2">
      <c r="A154" s="665">
        <v>4200</v>
      </c>
      <c r="B154" s="649" t="s">
        <v>88</v>
      </c>
      <c r="C154" s="648">
        <f t="shared" ref="C154:G154" si="81">SUM(C155:C157)</f>
        <v>0</v>
      </c>
      <c r="D154" s="648">
        <v>0</v>
      </c>
      <c r="E154" s="648">
        <f t="shared" ref="E154" si="82">SUM(E155:E157)</f>
        <v>0</v>
      </c>
      <c r="F154" s="648">
        <v>0</v>
      </c>
      <c r="G154" s="648">
        <f t="shared" si="81"/>
        <v>0</v>
      </c>
      <c r="H154" s="573">
        <f t="shared" si="69"/>
        <v>0</v>
      </c>
      <c r="I154" s="574" t="str">
        <f t="shared" si="70"/>
        <v>-</v>
      </c>
      <c r="J154" s="709"/>
      <c r="K154" s="573">
        <f t="shared" si="71"/>
        <v>0</v>
      </c>
      <c r="L154" s="574" t="str">
        <f t="shared" si="72"/>
        <v>-</v>
      </c>
      <c r="M154" s="721"/>
    </row>
    <row r="155" spans="1:14" s="667" customFormat="1" ht="56.25" customHeight="1" x14ac:dyDescent="0.2">
      <c r="A155" s="666">
        <v>4230</v>
      </c>
      <c r="B155" s="626" t="s">
        <v>89</v>
      </c>
      <c r="C155" s="623"/>
      <c r="D155" s="581"/>
      <c r="E155" s="623"/>
      <c r="F155" s="581"/>
      <c r="G155" s="581"/>
      <c r="H155" s="573">
        <f t="shared" si="69"/>
        <v>0</v>
      </c>
      <c r="I155" s="574" t="str">
        <f t="shared" si="70"/>
        <v>-</v>
      </c>
      <c r="J155" s="710"/>
      <c r="K155" s="582">
        <f t="shared" si="71"/>
        <v>0</v>
      </c>
      <c r="L155" s="583" t="str">
        <f t="shared" si="72"/>
        <v>-</v>
      </c>
      <c r="M155" s="722"/>
      <c r="N155" s="568"/>
    </row>
    <row r="156" spans="1:14" s="656" customFormat="1" ht="56.25" customHeight="1" x14ac:dyDescent="0.2">
      <c r="A156" s="666">
        <v>4240</v>
      </c>
      <c r="B156" s="622" t="s">
        <v>165</v>
      </c>
      <c r="C156" s="623"/>
      <c r="D156" s="581"/>
      <c r="E156" s="623"/>
      <c r="F156" s="581"/>
      <c r="G156" s="581"/>
      <c r="H156" s="573">
        <f t="shared" si="69"/>
        <v>0</v>
      </c>
      <c r="I156" s="574" t="str">
        <f t="shared" si="70"/>
        <v>-</v>
      </c>
      <c r="J156" s="710"/>
      <c r="K156" s="582">
        <f t="shared" si="71"/>
        <v>0</v>
      </c>
      <c r="L156" s="583" t="str">
        <f t="shared" si="72"/>
        <v>-</v>
      </c>
      <c r="M156" s="722"/>
      <c r="N156" s="568"/>
    </row>
    <row r="157" spans="1:14" s="656" customFormat="1" ht="19.5" customHeight="1" x14ac:dyDescent="0.2">
      <c r="A157" s="666">
        <v>4250</v>
      </c>
      <c r="B157" s="668" t="s">
        <v>166</v>
      </c>
      <c r="C157" s="623"/>
      <c r="D157" s="581"/>
      <c r="E157" s="623"/>
      <c r="F157" s="581"/>
      <c r="G157" s="581"/>
      <c r="H157" s="573">
        <f t="shared" si="69"/>
        <v>0</v>
      </c>
      <c r="I157" s="574" t="str">
        <f t="shared" si="70"/>
        <v>-</v>
      </c>
      <c r="J157" s="711"/>
      <c r="K157" s="582">
        <f t="shared" si="71"/>
        <v>0</v>
      </c>
      <c r="L157" s="583" t="str">
        <f t="shared" si="72"/>
        <v>-</v>
      </c>
      <c r="M157" s="723"/>
      <c r="N157" s="568"/>
    </row>
    <row r="158" spans="1:14" ht="19.5" customHeight="1" x14ac:dyDescent="0.2">
      <c r="A158" s="570">
        <v>4300</v>
      </c>
      <c r="B158" s="624" t="s">
        <v>90</v>
      </c>
      <c r="C158" s="648">
        <f t="shared" ref="C158:G158" si="83">SUM(C159:C162)</f>
        <v>0</v>
      </c>
      <c r="D158" s="648">
        <v>0</v>
      </c>
      <c r="E158" s="648">
        <f t="shared" ref="E158" si="84">SUM(E159:E162)</f>
        <v>0</v>
      </c>
      <c r="F158" s="648">
        <v>0</v>
      </c>
      <c r="G158" s="648">
        <f t="shared" si="83"/>
        <v>0</v>
      </c>
      <c r="H158" s="573">
        <f t="shared" si="69"/>
        <v>0</v>
      </c>
      <c r="I158" s="574" t="str">
        <f t="shared" si="70"/>
        <v>-</v>
      </c>
      <c r="J158" s="709"/>
      <c r="K158" s="573">
        <f t="shared" si="71"/>
        <v>0</v>
      </c>
      <c r="L158" s="574" t="str">
        <f t="shared" si="72"/>
        <v>-</v>
      </c>
      <c r="M158" s="721"/>
    </row>
    <row r="159" spans="1:14" ht="19.5" customHeight="1" x14ac:dyDescent="0.2">
      <c r="A159" s="621">
        <v>4310</v>
      </c>
      <c r="B159" s="626" t="s">
        <v>91</v>
      </c>
      <c r="C159" s="623"/>
      <c r="D159" s="581"/>
      <c r="E159" s="623"/>
      <c r="F159" s="581"/>
      <c r="G159" s="581"/>
      <c r="H159" s="573">
        <f t="shared" si="69"/>
        <v>0</v>
      </c>
      <c r="I159" s="574" t="str">
        <f t="shared" si="70"/>
        <v>-</v>
      </c>
      <c r="J159" s="710"/>
      <c r="K159" s="582">
        <f t="shared" si="71"/>
        <v>0</v>
      </c>
      <c r="L159" s="583" t="str">
        <f t="shared" si="72"/>
        <v>-</v>
      </c>
      <c r="M159" s="722"/>
    </row>
    <row r="160" spans="1:14" ht="37.5" customHeight="1" x14ac:dyDescent="0.2">
      <c r="A160" s="621">
        <v>4330</v>
      </c>
      <c r="B160" s="626" t="s">
        <v>441</v>
      </c>
      <c r="C160" s="623"/>
      <c r="D160" s="581"/>
      <c r="E160" s="623"/>
      <c r="F160" s="581"/>
      <c r="G160" s="581"/>
      <c r="H160" s="573">
        <f t="shared" si="69"/>
        <v>0</v>
      </c>
      <c r="I160" s="574" t="str">
        <f t="shared" si="70"/>
        <v>-</v>
      </c>
      <c r="J160" s="710"/>
      <c r="K160" s="582">
        <f t="shared" si="71"/>
        <v>0</v>
      </c>
      <c r="L160" s="583" t="str">
        <f t="shared" si="72"/>
        <v>-</v>
      </c>
      <c r="M160" s="722"/>
    </row>
    <row r="161" spans="1:14" s="656" customFormat="1" ht="56.25" customHeight="1" x14ac:dyDescent="0.2">
      <c r="A161" s="563">
        <v>4340</v>
      </c>
      <c r="B161" s="659" t="s">
        <v>167</v>
      </c>
      <c r="C161" s="660"/>
      <c r="D161" s="581"/>
      <c r="E161" s="660"/>
      <c r="F161" s="581"/>
      <c r="G161" s="581"/>
      <c r="H161" s="573">
        <f t="shared" si="69"/>
        <v>0</v>
      </c>
      <c r="I161" s="574" t="str">
        <f t="shared" si="70"/>
        <v>-</v>
      </c>
      <c r="J161" s="710"/>
      <c r="K161" s="582">
        <f t="shared" si="71"/>
        <v>0</v>
      </c>
      <c r="L161" s="583" t="str">
        <f t="shared" si="72"/>
        <v>-</v>
      </c>
      <c r="M161" s="722"/>
      <c r="N161" s="568"/>
    </row>
    <row r="162" spans="1:14" s="656" customFormat="1" ht="37.5" customHeight="1" x14ac:dyDescent="0.2">
      <c r="A162" s="563">
        <v>4390</v>
      </c>
      <c r="B162" s="659" t="s">
        <v>442</v>
      </c>
      <c r="C162" s="660"/>
      <c r="D162" s="581"/>
      <c r="E162" s="660"/>
      <c r="F162" s="581"/>
      <c r="G162" s="581"/>
      <c r="H162" s="573">
        <f t="shared" si="69"/>
        <v>0</v>
      </c>
      <c r="I162" s="574" t="str">
        <f t="shared" si="70"/>
        <v>-</v>
      </c>
      <c r="J162" s="711"/>
      <c r="K162" s="582">
        <f t="shared" si="71"/>
        <v>0</v>
      </c>
      <c r="L162" s="583" t="str">
        <f t="shared" si="72"/>
        <v>-</v>
      </c>
      <c r="M162" s="723"/>
      <c r="N162" s="568"/>
    </row>
    <row r="163" spans="1:14" s="656" customFormat="1" ht="19.5" customHeight="1" x14ac:dyDescent="0.2">
      <c r="A163" s="570" t="s">
        <v>92</v>
      </c>
      <c r="B163" s="571" t="s">
        <v>93</v>
      </c>
      <c r="C163" s="572">
        <f t="shared" ref="C163:G163" si="85">C34</f>
        <v>17565559.719999999</v>
      </c>
      <c r="D163" s="572">
        <v>18195167.199999999</v>
      </c>
      <c r="E163" s="572">
        <f t="shared" ref="E163" si="86">E34</f>
        <v>17565559.719999999</v>
      </c>
      <c r="F163" s="572">
        <v>18195167.199999999</v>
      </c>
      <c r="G163" s="572">
        <f t="shared" si="85"/>
        <v>18212245.259999998</v>
      </c>
      <c r="H163" s="573">
        <f t="shared" si="69"/>
        <v>17078.059999998659</v>
      </c>
      <c r="I163" s="574">
        <f t="shared" si="70"/>
        <v>9.3860418056497215E-4</v>
      </c>
      <c r="J163" s="655"/>
      <c r="K163" s="573">
        <f t="shared" si="71"/>
        <v>646685.53999999911</v>
      </c>
      <c r="L163" s="574">
        <f t="shared" si="72"/>
        <v>3.681553849170479E-2</v>
      </c>
      <c r="M163" s="610"/>
      <c r="N163" s="568"/>
    </row>
    <row r="164" spans="1:14" s="656" customFormat="1" ht="56.25" customHeight="1" x14ac:dyDescent="0.2">
      <c r="A164" s="570" t="s">
        <v>94</v>
      </c>
      <c r="B164" s="571" t="s">
        <v>349</v>
      </c>
      <c r="C164" s="572">
        <f t="shared" ref="C164:G164" si="87">C3-C163</f>
        <v>1563751.700000003</v>
      </c>
      <c r="D164" s="572">
        <v>1560862.9999999963</v>
      </c>
      <c r="E164" s="572">
        <f t="shared" ref="E164" si="88">E3-E163</f>
        <v>1563751.700000003</v>
      </c>
      <c r="F164" s="572">
        <v>1560862.9999999963</v>
      </c>
      <c r="G164" s="572">
        <f t="shared" si="87"/>
        <v>1233779.3500000015</v>
      </c>
      <c r="H164" s="573">
        <f t="shared" si="69"/>
        <v>-327083.64999999478</v>
      </c>
      <c r="I164" s="574">
        <f t="shared" si="70"/>
        <v>-0.20955308057145025</v>
      </c>
      <c r="J164" s="655"/>
      <c r="K164" s="573">
        <f t="shared" si="71"/>
        <v>-329972.35000000149</v>
      </c>
      <c r="L164" s="574">
        <f t="shared" si="72"/>
        <v>-0.2110132638065243</v>
      </c>
      <c r="M164" s="610"/>
      <c r="N164" s="568"/>
    </row>
    <row r="165" spans="1:14" s="656" customFormat="1" ht="19.5" customHeight="1" x14ac:dyDescent="0.2">
      <c r="A165" s="669">
        <v>5000</v>
      </c>
      <c r="B165" s="670" t="s">
        <v>95</v>
      </c>
      <c r="C165" s="671">
        <f t="shared" ref="C165:G165" si="89">C166+C167</f>
        <v>728804</v>
      </c>
      <c r="D165" s="671">
        <v>796804</v>
      </c>
      <c r="E165" s="671">
        <f t="shared" ref="E165" si="90">E166+E167</f>
        <v>728804</v>
      </c>
      <c r="F165" s="671">
        <v>796804</v>
      </c>
      <c r="G165" s="671">
        <f t="shared" si="89"/>
        <v>720108.91</v>
      </c>
      <c r="H165" s="573">
        <f t="shared" si="69"/>
        <v>-76695.089999999967</v>
      </c>
      <c r="I165" s="574">
        <f t="shared" si="70"/>
        <v>-9.6253394812275003E-2</v>
      </c>
      <c r="J165" s="655"/>
      <c r="K165" s="573">
        <f t="shared" si="71"/>
        <v>-8695.0899999999674</v>
      </c>
      <c r="L165" s="574">
        <f t="shared" si="72"/>
        <v>-1.1930628811038313E-2</v>
      </c>
      <c r="M165" s="610"/>
      <c r="N165" s="568"/>
    </row>
    <row r="166" spans="1:14" s="656" customFormat="1" ht="37.5" customHeight="1" x14ac:dyDescent="0.2">
      <c r="A166" s="672">
        <v>5100</v>
      </c>
      <c r="B166" s="591" t="s">
        <v>443</v>
      </c>
      <c r="C166" s="581">
        <v>24798</v>
      </c>
      <c r="D166" s="581">
        <v>24798</v>
      </c>
      <c r="E166" s="581">
        <v>24798</v>
      </c>
      <c r="F166" s="581">
        <v>24798</v>
      </c>
      <c r="G166" s="581">
        <v>24784.91</v>
      </c>
      <c r="H166" s="573">
        <f t="shared" si="69"/>
        <v>-13.090000000000146</v>
      </c>
      <c r="I166" s="574">
        <f t="shared" si="70"/>
        <v>-5.27865150415362E-4</v>
      </c>
      <c r="J166" s="673"/>
      <c r="K166" s="582">
        <f t="shared" si="71"/>
        <v>-13.090000000000146</v>
      </c>
      <c r="L166" s="583">
        <f t="shared" si="72"/>
        <v>-5.27865150415362E-4</v>
      </c>
      <c r="M166" s="674"/>
      <c r="N166" s="568"/>
    </row>
    <row r="167" spans="1:14" s="656" customFormat="1" ht="19.5" customHeight="1" x14ac:dyDescent="0.2">
      <c r="A167" s="675">
        <v>5200</v>
      </c>
      <c r="B167" s="577" t="s">
        <v>96</v>
      </c>
      <c r="C167" s="572">
        <f t="shared" ref="C167:G167" si="91">SUM(C168:C171)</f>
        <v>704006</v>
      </c>
      <c r="D167" s="572">
        <v>772006</v>
      </c>
      <c r="E167" s="572">
        <f t="shared" ref="E167" si="92">SUM(E168:E171)</f>
        <v>704006</v>
      </c>
      <c r="F167" s="572">
        <v>772006</v>
      </c>
      <c r="G167" s="572">
        <f t="shared" si="91"/>
        <v>695324</v>
      </c>
      <c r="H167" s="573">
        <f t="shared" si="69"/>
        <v>-76682</v>
      </c>
      <c r="I167" s="574">
        <f t="shared" si="70"/>
        <v>-9.9328243562873869E-2</v>
      </c>
      <c r="J167" s="712" t="s">
        <v>914</v>
      </c>
      <c r="K167" s="573">
        <f t="shared" si="71"/>
        <v>-8682</v>
      </c>
      <c r="L167" s="574">
        <f t="shared" si="72"/>
        <v>-1.2332281258966543E-2</v>
      </c>
      <c r="M167" s="721"/>
      <c r="N167" s="568"/>
    </row>
    <row r="168" spans="1:14" ht="47.25" x14ac:dyDescent="0.2">
      <c r="A168" s="676">
        <v>5210</v>
      </c>
      <c r="B168" s="580" t="s">
        <v>97</v>
      </c>
      <c r="C168" s="581">
        <v>704006</v>
      </c>
      <c r="D168" s="581">
        <v>772006</v>
      </c>
      <c r="E168" s="581">
        <v>704006</v>
      </c>
      <c r="F168" s="581">
        <v>772006</v>
      </c>
      <c r="G168" s="581">
        <v>695324</v>
      </c>
      <c r="H168" s="573">
        <f t="shared" si="69"/>
        <v>-76682</v>
      </c>
      <c r="I168" s="574">
        <f t="shared" si="70"/>
        <v>-9.9328243562873869E-2</v>
      </c>
      <c r="J168" s="713"/>
      <c r="K168" s="582">
        <f t="shared" si="71"/>
        <v>-8682</v>
      </c>
      <c r="L168" s="583">
        <f t="shared" si="72"/>
        <v>-1.2332281258966543E-2</v>
      </c>
      <c r="M168" s="722"/>
    </row>
    <row r="169" spans="1:14" s="656" customFormat="1" ht="31.5" x14ac:dyDescent="0.2">
      <c r="A169" s="676">
        <v>5220</v>
      </c>
      <c r="B169" s="580" t="s">
        <v>98</v>
      </c>
      <c r="C169" s="581"/>
      <c r="D169" s="581"/>
      <c r="E169" s="581"/>
      <c r="F169" s="581"/>
      <c r="G169" s="581"/>
      <c r="H169" s="573">
        <f t="shared" si="69"/>
        <v>0</v>
      </c>
      <c r="I169" s="574" t="str">
        <f t="shared" si="70"/>
        <v>-</v>
      </c>
      <c r="J169" s="713"/>
      <c r="K169" s="582">
        <f t="shared" si="71"/>
        <v>0</v>
      </c>
      <c r="L169" s="583" t="str">
        <f t="shared" si="72"/>
        <v>-</v>
      </c>
      <c r="M169" s="722"/>
      <c r="N169" s="568"/>
    </row>
    <row r="170" spans="1:14" s="656" customFormat="1" ht="58.5" customHeight="1" x14ac:dyDescent="0.2">
      <c r="A170" s="676">
        <v>5230</v>
      </c>
      <c r="B170" s="580" t="s">
        <v>99</v>
      </c>
      <c r="C170" s="581"/>
      <c r="D170" s="581"/>
      <c r="E170" s="581"/>
      <c r="F170" s="581"/>
      <c r="G170" s="581"/>
      <c r="H170" s="573">
        <f t="shared" si="69"/>
        <v>0</v>
      </c>
      <c r="I170" s="574" t="str">
        <f t="shared" si="70"/>
        <v>-</v>
      </c>
      <c r="J170" s="713"/>
      <c r="K170" s="582">
        <f t="shared" si="71"/>
        <v>0</v>
      </c>
      <c r="L170" s="583" t="str">
        <f t="shared" si="72"/>
        <v>-</v>
      </c>
      <c r="M170" s="722"/>
      <c r="N170" s="568"/>
    </row>
    <row r="171" spans="1:14" s="656" customFormat="1" ht="94.5" customHeight="1" x14ac:dyDescent="0.2">
      <c r="A171" s="676">
        <v>5240</v>
      </c>
      <c r="B171" s="580" t="s">
        <v>354</v>
      </c>
      <c r="C171" s="581"/>
      <c r="D171" s="581"/>
      <c r="E171" s="581"/>
      <c r="F171" s="581"/>
      <c r="G171" s="581"/>
      <c r="H171" s="573">
        <f t="shared" si="69"/>
        <v>0</v>
      </c>
      <c r="I171" s="574" t="str">
        <f t="shared" si="70"/>
        <v>-</v>
      </c>
      <c r="J171" s="714"/>
      <c r="K171" s="582">
        <f t="shared" si="71"/>
        <v>0</v>
      </c>
      <c r="L171" s="583" t="str">
        <f t="shared" si="72"/>
        <v>-</v>
      </c>
      <c r="M171" s="723"/>
      <c r="N171" s="568"/>
    </row>
    <row r="172" spans="1:14" s="656" customFormat="1" ht="102.75" customHeight="1" x14ac:dyDescent="0.2">
      <c r="A172" s="570" t="s">
        <v>100</v>
      </c>
      <c r="B172" s="571" t="s">
        <v>350</v>
      </c>
      <c r="C172" s="572">
        <f t="shared" ref="C172:G172" si="93">C164-C165</f>
        <v>834947.70000000298</v>
      </c>
      <c r="D172" s="572">
        <v>764058.99999999627</v>
      </c>
      <c r="E172" s="572">
        <f t="shared" ref="E172" si="94">E164-E165</f>
        <v>834947.70000000298</v>
      </c>
      <c r="F172" s="572">
        <v>764058.99999999627</v>
      </c>
      <c r="G172" s="572">
        <f t="shared" si="93"/>
        <v>513670.44000000146</v>
      </c>
      <c r="H172" s="573">
        <f t="shared" si="69"/>
        <v>-250388.55999999482</v>
      </c>
      <c r="I172" s="574">
        <f t="shared" si="70"/>
        <v>-0.32770840995262934</v>
      </c>
      <c r="J172" s="655"/>
      <c r="K172" s="573">
        <f t="shared" si="71"/>
        <v>-321277.26000000152</v>
      </c>
      <c r="L172" s="574">
        <f t="shared" si="72"/>
        <v>-0.38478728667675877</v>
      </c>
      <c r="M172" s="610"/>
      <c r="N172" s="568"/>
    </row>
    <row r="173" spans="1:14" s="656" customFormat="1" ht="19.5" customHeight="1" x14ac:dyDescent="0.2">
      <c r="A173" s="677" t="s">
        <v>168</v>
      </c>
      <c r="B173" s="577" t="s">
        <v>101</v>
      </c>
      <c r="C173" s="572">
        <f t="shared" ref="C173:G173" si="95">SUM(C174:C181)</f>
        <v>85209.549999999988</v>
      </c>
      <c r="D173" s="572">
        <v>26463</v>
      </c>
      <c r="E173" s="572">
        <f t="shared" ref="E173" si="96">SUM(E174:E181)</f>
        <v>85209.549999999988</v>
      </c>
      <c r="F173" s="572">
        <v>26463</v>
      </c>
      <c r="G173" s="572">
        <f t="shared" si="95"/>
        <v>74518.25</v>
      </c>
      <c r="H173" s="573">
        <f t="shared" si="69"/>
        <v>48055.25</v>
      </c>
      <c r="I173" s="574">
        <f t="shared" si="70"/>
        <v>1.815941125344821</v>
      </c>
      <c r="J173" s="712" t="s">
        <v>867</v>
      </c>
      <c r="K173" s="573">
        <f t="shared" si="71"/>
        <v>-10691.299999999988</v>
      </c>
      <c r="L173" s="574">
        <f t="shared" si="72"/>
        <v>-0.12547067787589525</v>
      </c>
      <c r="M173" s="712" t="s">
        <v>873</v>
      </c>
      <c r="N173" s="568"/>
    </row>
    <row r="174" spans="1:14" s="656" customFormat="1" x14ac:dyDescent="0.2">
      <c r="A174" s="678" t="s">
        <v>169</v>
      </c>
      <c r="B174" s="580" t="s">
        <v>102</v>
      </c>
      <c r="C174" s="581"/>
      <c r="D174" s="581"/>
      <c r="E174" s="581"/>
      <c r="F174" s="581"/>
      <c r="G174" s="581"/>
      <c r="H174" s="573">
        <f t="shared" si="69"/>
        <v>0</v>
      </c>
      <c r="I174" s="574" t="str">
        <f t="shared" si="70"/>
        <v>-</v>
      </c>
      <c r="J174" s="713"/>
      <c r="K174" s="582">
        <f t="shared" si="71"/>
        <v>0</v>
      </c>
      <c r="L174" s="583" t="str">
        <f t="shared" si="72"/>
        <v>-</v>
      </c>
      <c r="M174" s="713"/>
      <c r="N174" s="568"/>
    </row>
    <row r="175" spans="1:14" s="656" customFormat="1" x14ac:dyDescent="0.2">
      <c r="A175" s="678" t="s">
        <v>170</v>
      </c>
      <c r="B175" s="580" t="s">
        <v>103</v>
      </c>
      <c r="C175" s="581">
        <v>481</v>
      </c>
      <c r="D175" s="581">
        <v>308</v>
      </c>
      <c r="E175" s="581">
        <v>481</v>
      </c>
      <c r="F175" s="581">
        <v>308</v>
      </c>
      <c r="G175" s="581">
        <f>27.3</f>
        <v>27.3</v>
      </c>
      <c r="H175" s="573">
        <f t="shared" si="69"/>
        <v>-280.7</v>
      </c>
      <c r="I175" s="574">
        <f t="shared" si="70"/>
        <v>-0.91136363636363638</v>
      </c>
      <c r="J175" s="713"/>
      <c r="K175" s="582">
        <f t="shared" si="71"/>
        <v>-453.7</v>
      </c>
      <c r="L175" s="583">
        <f t="shared" si="72"/>
        <v>-0.94324324324324327</v>
      </c>
      <c r="M175" s="713"/>
      <c r="N175" s="568"/>
    </row>
    <row r="176" spans="1:14" s="656" customFormat="1" ht="31.5" x14ac:dyDescent="0.2">
      <c r="A176" s="678" t="s">
        <v>171</v>
      </c>
      <c r="B176" s="580" t="s">
        <v>351</v>
      </c>
      <c r="C176" s="581"/>
      <c r="D176" s="581"/>
      <c r="E176" s="581"/>
      <c r="F176" s="581"/>
      <c r="G176" s="581"/>
      <c r="H176" s="573">
        <f t="shared" si="69"/>
        <v>0</v>
      </c>
      <c r="I176" s="574" t="str">
        <f t="shared" si="70"/>
        <v>-</v>
      </c>
      <c r="J176" s="713"/>
      <c r="K176" s="582">
        <f t="shared" si="71"/>
        <v>0</v>
      </c>
      <c r="L176" s="583" t="str">
        <f t="shared" si="72"/>
        <v>-</v>
      </c>
      <c r="M176" s="713"/>
      <c r="N176" s="568"/>
    </row>
    <row r="177" spans="1:14" s="656" customFormat="1" x14ac:dyDescent="0.2">
      <c r="A177" s="678" t="s">
        <v>172</v>
      </c>
      <c r="B177" s="580" t="s">
        <v>104</v>
      </c>
      <c r="C177" s="581"/>
      <c r="D177" s="581"/>
      <c r="E177" s="581"/>
      <c r="F177" s="581"/>
      <c r="G177" s="581"/>
      <c r="H177" s="573">
        <f t="shared" si="69"/>
        <v>0</v>
      </c>
      <c r="I177" s="574" t="str">
        <f t="shared" si="70"/>
        <v>-</v>
      </c>
      <c r="J177" s="713"/>
      <c r="K177" s="582">
        <f t="shared" si="71"/>
        <v>0</v>
      </c>
      <c r="L177" s="583" t="str">
        <f t="shared" si="72"/>
        <v>-</v>
      </c>
      <c r="M177" s="713"/>
      <c r="N177" s="568"/>
    </row>
    <row r="178" spans="1:14" s="656" customFormat="1" ht="31.5" x14ac:dyDescent="0.2">
      <c r="A178" s="678" t="s">
        <v>173</v>
      </c>
      <c r="B178" s="580" t="s">
        <v>105</v>
      </c>
      <c r="C178" s="581"/>
      <c r="D178" s="581"/>
      <c r="E178" s="581"/>
      <c r="F178" s="581"/>
      <c r="G178" s="581"/>
      <c r="H178" s="573">
        <f t="shared" si="69"/>
        <v>0</v>
      </c>
      <c r="I178" s="574" t="str">
        <f t="shared" si="70"/>
        <v>-</v>
      </c>
      <c r="J178" s="713"/>
      <c r="K178" s="582">
        <f t="shared" si="71"/>
        <v>0</v>
      </c>
      <c r="L178" s="583" t="str">
        <f t="shared" si="72"/>
        <v>-</v>
      </c>
      <c r="M178" s="713"/>
      <c r="N178" s="568"/>
    </row>
    <row r="179" spans="1:14" ht="68.25" customHeight="1" x14ac:dyDescent="0.2">
      <c r="A179" s="678" t="s">
        <v>174</v>
      </c>
      <c r="B179" s="580" t="s">
        <v>106</v>
      </c>
      <c r="C179" s="581">
        <v>58839.95</v>
      </c>
      <c r="D179" s="581"/>
      <c r="E179" s="581">
        <v>58839.95</v>
      </c>
      <c r="F179" s="581"/>
      <c r="G179" s="581">
        <v>58839.95</v>
      </c>
      <c r="H179" s="573">
        <f t="shared" si="69"/>
        <v>58839.95</v>
      </c>
      <c r="I179" s="574" t="str">
        <f t="shared" si="70"/>
        <v>-</v>
      </c>
      <c r="J179" s="713"/>
      <c r="K179" s="582">
        <f t="shared" si="71"/>
        <v>0</v>
      </c>
      <c r="L179" s="583">
        <f t="shared" si="72"/>
        <v>0</v>
      </c>
      <c r="M179" s="713"/>
    </row>
    <row r="180" spans="1:14" s="656" customFormat="1" ht="45" customHeight="1" x14ac:dyDescent="0.2">
      <c r="A180" s="678" t="s">
        <v>175</v>
      </c>
      <c r="B180" s="580" t="s">
        <v>148</v>
      </c>
      <c r="C180" s="581"/>
      <c r="D180" s="581"/>
      <c r="E180" s="581"/>
      <c r="F180" s="581"/>
      <c r="G180" s="581"/>
      <c r="H180" s="573">
        <f t="shared" si="69"/>
        <v>0</v>
      </c>
      <c r="I180" s="574" t="str">
        <f t="shared" si="70"/>
        <v>-</v>
      </c>
      <c r="J180" s="714"/>
      <c r="K180" s="582">
        <f t="shared" si="71"/>
        <v>0</v>
      </c>
      <c r="L180" s="583" t="str">
        <f t="shared" si="72"/>
        <v>-</v>
      </c>
      <c r="M180" s="714"/>
      <c r="N180" s="568"/>
    </row>
    <row r="181" spans="1:14" s="656" customFormat="1" ht="241.5" customHeight="1" x14ac:dyDescent="0.2">
      <c r="A181" s="678" t="s">
        <v>176</v>
      </c>
      <c r="B181" s="580" t="s">
        <v>107</v>
      </c>
      <c r="C181" s="581">
        <f>22715.6+3173</f>
        <v>25888.6</v>
      </c>
      <c r="D181" s="581">
        <v>26155</v>
      </c>
      <c r="E181" s="581">
        <f>22715.6+3173</f>
        <v>25888.6</v>
      </c>
      <c r="F181" s="581">
        <v>26155</v>
      </c>
      <c r="G181" s="581">
        <f>15752-101</f>
        <v>15651</v>
      </c>
      <c r="H181" s="573">
        <f t="shared" si="69"/>
        <v>-10504</v>
      </c>
      <c r="I181" s="574">
        <f t="shared" si="70"/>
        <v>-0.40160581150831581</v>
      </c>
      <c r="J181" s="653" t="s">
        <v>866</v>
      </c>
      <c r="K181" s="582">
        <f t="shared" si="71"/>
        <v>-10237.599999999999</v>
      </c>
      <c r="L181" s="583">
        <f t="shared" si="72"/>
        <v>-0.39544818955061295</v>
      </c>
      <c r="M181" s="653" t="s">
        <v>881</v>
      </c>
      <c r="N181" s="568"/>
    </row>
    <row r="182" spans="1:14" s="656" customFormat="1" ht="37.5" customHeight="1" x14ac:dyDescent="0.2">
      <c r="A182" s="570" t="s">
        <v>108</v>
      </c>
      <c r="B182" s="571" t="s">
        <v>109</v>
      </c>
      <c r="C182" s="572">
        <f t="shared" ref="C182:G182" si="97">C3+C173</f>
        <v>19214520.970000003</v>
      </c>
      <c r="D182" s="572">
        <v>19782493.199999996</v>
      </c>
      <c r="E182" s="572">
        <f t="shared" ref="E182" si="98">E3+E173</f>
        <v>19214520.970000003</v>
      </c>
      <c r="F182" s="572">
        <v>19782493.199999996</v>
      </c>
      <c r="G182" s="572">
        <f t="shared" si="97"/>
        <v>19520542.859999999</v>
      </c>
      <c r="H182" s="573">
        <f t="shared" si="69"/>
        <v>-261950.33999999613</v>
      </c>
      <c r="I182" s="574">
        <f t="shared" si="70"/>
        <v>-1.3241523065454468E-2</v>
      </c>
      <c r="J182" s="655"/>
      <c r="K182" s="573">
        <f t="shared" si="71"/>
        <v>306021.88999999687</v>
      </c>
      <c r="L182" s="574">
        <f t="shared" si="72"/>
        <v>1.5926594812214923E-2</v>
      </c>
      <c r="M182" s="655"/>
      <c r="N182" s="568"/>
    </row>
    <row r="183" spans="1:14" s="656" customFormat="1" ht="155.25" customHeight="1" x14ac:dyDescent="0.2">
      <c r="A183" s="638">
        <v>8000</v>
      </c>
      <c r="B183" s="577" t="s">
        <v>110</v>
      </c>
      <c r="C183" s="572">
        <f t="shared" ref="C183" si="99">SUM(C184:C190)</f>
        <v>333451.95999999996</v>
      </c>
      <c r="D183" s="572">
        <v>345681</v>
      </c>
      <c r="E183" s="572">
        <f t="shared" ref="E183" si="100">SUM(E184:E190)</f>
        <v>333451.95999999996</v>
      </c>
      <c r="F183" s="572">
        <v>345681</v>
      </c>
      <c r="G183" s="572">
        <f>SUM(G184:G190)</f>
        <v>42984.22</v>
      </c>
      <c r="H183" s="573">
        <f t="shared" si="69"/>
        <v>-302696.78000000003</v>
      </c>
      <c r="I183" s="574">
        <f t="shared" si="70"/>
        <v>-0.87565350713519119</v>
      </c>
      <c r="J183" s="698" t="s">
        <v>855</v>
      </c>
      <c r="K183" s="573">
        <f t="shared" si="71"/>
        <v>-290467.74</v>
      </c>
      <c r="L183" s="574">
        <f t="shared" si="72"/>
        <v>-0.87109321534652251</v>
      </c>
      <c r="M183" s="712" t="s">
        <v>856</v>
      </c>
      <c r="N183" s="568"/>
    </row>
    <row r="184" spans="1:14" s="656" customFormat="1" ht="31.5" x14ac:dyDescent="0.2">
      <c r="A184" s="621">
        <v>8100</v>
      </c>
      <c r="B184" s="580" t="s">
        <v>177</v>
      </c>
      <c r="C184" s="581"/>
      <c r="D184" s="581"/>
      <c r="E184" s="581"/>
      <c r="F184" s="581"/>
      <c r="G184" s="581"/>
      <c r="H184" s="573">
        <f t="shared" si="69"/>
        <v>0</v>
      </c>
      <c r="I184" s="574" t="str">
        <f t="shared" si="70"/>
        <v>-</v>
      </c>
      <c r="J184" s="692"/>
      <c r="K184" s="582">
        <f t="shared" si="71"/>
        <v>0</v>
      </c>
      <c r="L184" s="583" t="str">
        <f t="shared" si="72"/>
        <v>-</v>
      </c>
      <c r="M184" s="713"/>
      <c r="N184" s="568"/>
    </row>
    <row r="185" spans="1:14" s="656" customFormat="1" ht="18.75" customHeight="1" x14ac:dyDescent="0.2">
      <c r="A185" s="621">
        <v>8200</v>
      </c>
      <c r="B185" s="580" t="s">
        <v>113</v>
      </c>
      <c r="C185" s="581">
        <f>47.44</f>
        <v>47.44</v>
      </c>
      <c r="D185" s="581">
        <v>47</v>
      </c>
      <c r="E185" s="581">
        <f>47.44</f>
        <v>47.44</v>
      </c>
      <c r="F185" s="581">
        <v>47</v>
      </c>
      <c r="G185" s="581"/>
      <c r="H185" s="573">
        <f t="shared" si="69"/>
        <v>-47</v>
      </c>
      <c r="I185" s="574">
        <f t="shared" si="70"/>
        <v>-1</v>
      </c>
      <c r="J185" s="692"/>
      <c r="K185" s="582">
        <f t="shared" si="71"/>
        <v>-47.44</v>
      </c>
      <c r="L185" s="583">
        <f t="shared" si="72"/>
        <v>-1</v>
      </c>
      <c r="M185" s="713"/>
      <c r="N185" s="568"/>
    </row>
    <row r="186" spans="1:14" s="656" customFormat="1" ht="31.5" x14ac:dyDescent="0.2">
      <c r="A186" s="621">
        <v>8300</v>
      </c>
      <c r="B186" s="580" t="s">
        <v>112</v>
      </c>
      <c r="C186" s="581">
        <f>13788.92</f>
        <v>13788.92</v>
      </c>
      <c r="D186" s="581">
        <v>13473</v>
      </c>
      <c r="E186" s="581">
        <f>13788.92</f>
        <v>13788.92</v>
      </c>
      <c r="F186" s="581">
        <v>13473</v>
      </c>
      <c r="G186" s="581">
        <f>19764.68</f>
        <v>19764.68</v>
      </c>
      <c r="H186" s="573">
        <f t="shared" si="69"/>
        <v>6291.68</v>
      </c>
      <c r="I186" s="574">
        <f t="shared" si="70"/>
        <v>0.46698433904846731</v>
      </c>
      <c r="J186" s="692"/>
      <c r="K186" s="582">
        <f t="shared" si="71"/>
        <v>5975.76</v>
      </c>
      <c r="L186" s="583">
        <f t="shared" si="72"/>
        <v>0.43337404234704385</v>
      </c>
      <c r="M186" s="713"/>
      <c r="N186" s="568"/>
    </row>
    <row r="187" spans="1:14" ht="47.25" x14ac:dyDescent="0.2">
      <c r="A187" s="621">
        <v>8600</v>
      </c>
      <c r="B187" s="580" t="s">
        <v>178</v>
      </c>
      <c r="C187" s="581">
        <v>39971</v>
      </c>
      <c r="D187" s="581">
        <v>59978</v>
      </c>
      <c r="E187" s="581">
        <v>39971</v>
      </c>
      <c r="F187" s="581">
        <v>59978</v>
      </c>
      <c r="G187" s="581">
        <f>33766.31</f>
        <v>33766.31</v>
      </c>
      <c r="H187" s="573">
        <f t="shared" si="69"/>
        <v>-26211.690000000002</v>
      </c>
      <c r="I187" s="574">
        <f t="shared" si="70"/>
        <v>-0.43702174130514526</v>
      </c>
      <c r="J187" s="692"/>
      <c r="K187" s="582">
        <f t="shared" si="71"/>
        <v>-6204.6900000000023</v>
      </c>
      <c r="L187" s="583">
        <f t="shared" si="72"/>
        <v>-0.15522979159890926</v>
      </c>
      <c r="M187" s="713"/>
    </row>
    <row r="188" spans="1:14" s="656" customFormat="1" ht="47.25" x14ac:dyDescent="0.2">
      <c r="A188" s="621">
        <v>8700</v>
      </c>
      <c r="B188" s="580" t="s">
        <v>353</v>
      </c>
      <c r="C188" s="581">
        <f>221675+52671</f>
        <v>274346</v>
      </c>
      <c r="D188" s="581">
        <v>264743</v>
      </c>
      <c r="E188" s="581">
        <f>221675+52671</f>
        <v>274346</v>
      </c>
      <c r="F188" s="581">
        <v>264743</v>
      </c>
      <c r="G188" s="581">
        <f>-(13352.24+2652.89)</f>
        <v>-16005.13</v>
      </c>
      <c r="H188" s="573">
        <f>G188-F188</f>
        <v>-280748.13</v>
      </c>
      <c r="I188" s="574">
        <f t="shared" si="70"/>
        <v>-1.0604553472613063</v>
      </c>
      <c r="J188" s="698" t="s">
        <v>919</v>
      </c>
      <c r="K188" s="594">
        <f t="shared" si="71"/>
        <v>-290351.13</v>
      </c>
      <c r="L188" s="583">
        <f t="shared" si="72"/>
        <v>-1.0583392139852594</v>
      </c>
      <c r="M188" s="713"/>
      <c r="N188" s="568"/>
    </row>
    <row r="189" spans="1:14" ht="18.75" customHeight="1" x14ac:dyDescent="0.2">
      <c r="A189" s="621">
        <v>8800</v>
      </c>
      <c r="B189" s="679" t="s">
        <v>111</v>
      </c>
      <c r="C189" s="586">
        <f>5298.6</f>
        <v>5298.6</v>
      </c>
      <c r="D189" s="581">
        <v>7440</v>
      </c>
      <c r="E189" s="586">
        <f>5298.6</f>
        <v>5298.6</v>
      </c>
      <c r="F189" s="581">
        <v>7440</v>
      </c>
      <c r="G189" s="581">
        <f>15+5442.83+0.53</f>
        <v>5458.36</v>
      </c>
      <c r="H189" s="573">
        <f t="shared" si="69"/>
        <v>-1981.6400000000003</v>
      </c>
      <c r="I189" s="574">
        <f t="shared" si="70"/>
        <v>-0.26634946236559143</v>
      </c>
      <c r="J189" s="692"/>
      <c r="K189" s="582">
        <f t="shared" si="71"/>
        <v>159.75999999999931</v>
      </c>
      <c r="L189" s="583">
        <f t="shared" si="72"/>
        <v>3.0151360736798267E-2</v>
      </c>
      <c r="M189" s="713"/>
    </row>
    <row r="190" spans="1:14" ht="63" x14ac:dyDescent="0.2">
      <c r="A190" s="563">
        <v>8900</v>
      </c>
      <c r="B190" s="680" t="s">
        <v>179</v>
      </c>
      <c r="C190" s="586"/>
      <c r="D190" s="581"/>
      <c r="E190" s="586"/>
      <c r="F190" s="581"/>
      <c r="G190" s="581"/>
      <c r="H190" s="573">
        <f t="shared" si="69"/>
        <v>0</v>
      </c>
      <c r="I190" s="574" t="str">
        <f t="shared" si="70"/>
        <v>-</v>
      </c>
      <c r="J190" s="692"/>
      <c r="K190" s="582">
        <f t="shared" si="71"/>
        <v>0</v>
      </c>
      <c r="L190" s="583" t="str">
        <f t="shared" si="72"/>
        <v>-</v>
      </c>
      <c r="M190" s="714"/>
    </row>
    <row r="191" spans="1:14" ht="31.5" x14ac:dyDescent="0.2">
      <c r="A191" s="570" t="s">
        <v>114</v>
      </c>
      <c r="B191" s="571" t="s">
        <v>115</v>
      </c>
      <c r="C191" s="572">
        <f t="shared" ref="C191" si="101">C163+C165+C183</f>
        <v>18627815.68</v>
      </c>
      <c r="D191" s="572">
        <v>19337652.199999999</v>
      </c>
      <c r="E191" s="572">
        <f t="shared" ref="E191" si="102">E163+E165+E183</f>
        <v>18627815.68</v>
      </c>
      <c r="F191" s="572">
        <v>19337652.199999999</v>
      </c>
      <c r="G191" s="572">
        <f>G163+G165+G183</f>
        <v>18975338.389999997</v>
      </c>
      <c r="H191" s="573">
        <f t="shared" si="69"/>
        <v>-362313.81000000238</v>
      </c>
      <c r="I191" s="574">
        <f t="shared" si="70"/>
        <v>-1.8736184013072817E-2</v>
      </c>
      <c r="J191" s="610"/>
      <c r="K191" s="573">
        <f t="shared" si="71"/>
        <v>347522.70999999717</v>
      </c>
      <c r="L191" s="574">
        <f t="shared" si="72"/>
        <v>1.8656117065465681E-2</v>
      </c>
      <c r="M191" s="610"/>
    </row>
    <row r="192" spans="1:14" x14ac:dyDescent="0.2">
      <c r="A192" s="681" t="s">
        <v>180</v>
      </c>
      <c r="B192" s="682" t="s">
        <v>116</v>
      </c>
      <c r="C192" s="603"/>
      <c r="D192" s="581"/>
      <c r="E192" s="603"/>
      <c r="F192" s="581"/>
      <c r="G192" s="581"/>
      <c r="H192" s="573">
        <f t="shared" si="69"/>
        <v>0</v>
      </c>
      <c r="I192" s="574" t="str">
        <f t="shared" si="70"/>
        <v>-</v>
      </c>
      <c r="J192" s="674"/>
      <c r="K192" s="582">
        <f t="shared" si="71"/>
        <v>0</v>
      </c>
      <c r="L192" s="583" t="str">
        <f t="shared" si="72"/>
        <v>-</v>
      </c>
      <c r="M192" s="674"/>
    </row>
    <row r="193" spans="1:13" x14ac:dyDescent="0.2">
      <c r="A193" s="570" t="s">
        <v>181</v>
      </c>
      <c r="B193" s="571" t="s">
        <v>117</v>
      </c>
      <c r="C193" s="572">
        <f t="shared" ref="C193:G193" si="103">C172+C173-C183-C192</f>
        <v>586705.29000000306</v>
      </c>
      <c r="D193" s="572">
        <f>D172+D173-D183-D192</f>
        <v>444840.99999999627</v>
      </c>
      <c r="E193" s="572">
        <f t="shared" ref="E193" si="104">E172+E173-E183-E192</f>
        <v>586705.29000000306</v>
      </c>
      <c r="F193" s="572">
        <f>F172+F173-F183-F192</f>
        <v>444840.99999999627</v>
      </c>
      <c r="G193" s="572">
        <f t="shared" si="103"/>
        <v>545204.47000000149</v>
      </c>
      <c r="H193" s="573">
        <f t="shared" si="69"/>
        <v>100363.47000000521</v>
      </c>
      <c r="I193" s="574">
        <f t="shared" si="70"/>
        <v>0.22561650117683857</v>
      </c>
      <c r="J193" s="610"/>
      <c r="K193" s="573">
        <f t="shared" si="71"/>
        <v>-41500.820000001579</v>
      </c>
      <c r="L193" s="574">
        <f t="shared" si="72"/>
        <v>-7.0735377211276484E-2</v>
      </c>
      <c r="M193" s="610"/>
    </row>
    <row r="194" spans="1:13" x14ac:dyDescent="0.2">
      <c r="A194" s="656"/>
      <c r="B194" s="656"/>
      <c r="C194" s="656"/>
      <c r="E194" s="656"/>
      <c r="G194" s="683"/>
      <c r="H194" s="683"/>
      <c r="I194" s="683"/>
      <c r="J194" s="683"/>
      <c r="K194" s="683"/>
      <c r="L194" s="683"/>
      <c r="M194" s="683"/>
    </row>
    <row r="195" spans="1:13" x14ac:dyDescent="0.2">
      <c r="A195" s="656" t="s">
        <v>583</v>
      </c>
      <c r="B195" s="656"/>
      <c r="C195" s="656"/>
      <c r="E195" s="656"/>
      <c r="G195" s="683"/>
      <c r="H195" s="683"/>
      <c r="I195" s="683"/>
      <c r="J195" s="683"/>
      <c r="K195" s="683"/>
      <c r="L195" s="683"/>
      <c r="M195" s="683"/>
    </row>
    <row r="196" spans="1:13" x14ac:dyDescent="0.2">
      <c r="A196" s="726" t="s">
        <v>907</v>
      </c>
      <c r="B196" s="726"/>
      <c r="C196" s="726"/>
      <c r="D196" s="726"/>
      <c r="E196" s="726"/>
      <c r="F196" s="726"/>
      <c r="G196" s="726"/>
      <c r="H196" s="726"/>
      <c r="I196" s="726"/>
      <c r="J196" s="726"/>
      <c r="K196" s="684"/>
      <c r="L196" s="568"/>
      <c r="M196" s="568"/>
    </row>
    <row r="197" spans="1:13" ht="18.75" x14ac:dyDescent="0.2">
      <c r="A197" s="656" t="s">
        <v>908</v>
      </c>
      <c r="B197" s="656"/>
      <c r="C197" s="656"/>
      <c r="E197" s="656"/>
      <c r="G197" s="683"/>
      <c r="H197" s="683"/>
      <c r="I197" s="683"/>
      <c r="J197" s="683"/>
      <c r="K197" s="683"/>
      <c r="L197" s="683"/>
      <c r="M197" s="683"/>
    </row>
    <row r="198" spans="1:13" x14ac:dyDescent="0.2">
      <c r="A198" s="568" t="s">
        <v>644</v>
      </c>
    </row>
    <row r="205" spans="1:13" x14ac:dyDescent="0.2">
      <c r="G205" s="683"/>
      <c r="H205" s="693"/>
      <c r="I205" s="683"/>
      <c r="J205" s="693"/>
    </row>
    <row r="271" spans="1:13" s="656" customFormat="1" x14ac:dyDescent="0.2">
      <c r="A271" s="568"/>
      <c r="B271" s="568"/>
      <c r="C271" s="568"/>
      <c r="D271" s="683"/>
      <c r="E271" s="568"/>
      <c r="F271" s="683"/>
      <c r="G271" s="685"/>
      <c r="H271" s="685"/>
      <c r="I271" s="685"/>
      <c r="J271" s="685"/>
      <c r="K271" s="685"/>
      <c r="L271" s="685"/>
      <c r="M271" s="685"/>
    </row>
    <row r="272" spans="1:13" s="656" customFormat="1" x14ac:dyDescent="0.2">
      <c r="A272" s="568"/>
      <c r="B272" s="568"/>
      <c r="C272" s="568"/>
      <c r="D272" s="683"/>
      <c r="E272" s="568"/>
      <c r="F272" s="683"/>
      <c r="G272" s="685"/>
      <c r="H272" s="685"/>
      <c r="I272" s="685"/>
      <c r="J272" s="685"/>
      <c r="K272" s="685"/>
      <c r="L272" s="685"/>
      <c r="M272" s="685"/>
    </row>
    <row r="273" spans="1:13" s="656" customFormat="1" x14ac:dyDescent="0.2">
      <c r="A273" s="568"/>
      <c r="B273" s="568"/>
      <c r="C273" s="568"/>
      <c r="D273" s="683"/>
      <c r="E273" s="568"/>
      <c r="F273" s="683"/>
      <c r="G273" s="685"/>
      <c r="H273" s="685"/>
      <c r="I273" s="685"/>
      <c r="J273" s="685"/>
      <c r="K273" s="685"/>
      <c r="L273" s="685"/>
      <c r="M273" s="685"/>
    </row>
    <row r="274" spans="1:13" s="656" customFormat="1" x14ac:dyDescent="0.2">
      <c r="A274" s="568"/>
      <c r="B274" s="568"/>
      <c r="C274" s="568"/>
      <c r="D274" s="683"/>
      <c r="E274" s="568"/>
      <c r="F274" s="683"/>
      <c r="G274" s="685"/>
      <c r="H274" s="685"/>
      <c r="I274" s="685"/>
      <c r="J274" s="685"/>
      <c r="K274" s="685"/>
      <c r="L274" s="685"/>
      <c r="M274" s="685"/>
    </row>
    <row r="275" spans="1:13" s="656" customFormat="1" x14ac:dyDescent="0.2">
      <c r="A275" s="568"/>
      <c r="B275" s="568"/>
      <c r="C275" s="568"/>
      <c r="D275" s="683"/>
      <c r="E275" s="568"/>
      <c r="F275" s="683"/>
      <c r="G275" s="685"/>
      <c r="H275" s="685"/>
      <c r="I275" s="685"/>
      <c r="J275" s="685"/>
      <c r="K275" s="685"/>
      <c r="L275" s="685"/>
      <c r="M275" s="685"/>
    </row>
    <row r="276" spans="1:13" s="656" customFormat="1" x14ac:dyDescent="0.2">
      <c r="A276" s="568"/>
      <c r="B276" s="568"/>
      <c r="C276" s="568"/>
      <c r="D276" s="683"/>
      <c r="E276" s="568"/>
      <c r="F276" s="683"/>
      <c r="G276" s="685"/>
      <c r="H276" s="685"/>
      <c r="I276" s="685"/>
      <c r="J276" s="685"/>
      <c r="K276" s="685"/>
      <c r="L276" s="685"/>
      <c r="M276" s="685"/>
    </row>
    <row r="277" spans="1:13" s="656" customFormat="1" x14ac:dyDescent="0.2">
      <c r="A277" s="568"/>
      <c r="B277" s="568"/>
      <c r="C277" s="568"/>
      <c r="D277" s="683"/>
      <c r="E277" s="568"/>
      <c r="F277" s="683"/>
      <c r="G277" s="685"/>
      <c r="H277" s="685"/>
      <c r="I277" s="685"/>
      <c r="J277" s="685"/>
      <c r="K277" s="685"/>
      <c r="L277" s="685"/>
      <c r="M277" s="685"/>
    </row>
    <row r="278" spans="1:13" s="656" customFormat="1" x14ac:dyDescent="0.2">
      <c r="A278" s="568"/>
      <c r="B278" s="568"/>
      <c r="C278" s="568"/>
      <c r="D278" s="683"/>
      <c r="E278" s="568"/>
      <c r="F278" s="683"/>
      <c r="G278" s="685"/>
      <c r="H278" s="685"/>
      <c r="I278" s="685"/>
      <c r="J278" s="685"/>
      <c r="K278" s="685"/>
      <c r="L278" s="685"/>
      <c r="M278" s="685"/>
    </row>
    <row r="279" spans="1:13" s="656" customFormat="1" x14ac:dyDescent="0.2">
      <c r="D279" s="683"/>
      <c r="F279" s="683"/>
      <c r="G279" s="683"/>
      <c r="H279" s="683"/>
      <c r="I279" s="683"/>
      <c r="J279" s="683"/>
      <c r="K279" s="683"/>
      <c r="L279" s="683"/>
      <c r="M279" s="683"/>
    </row>
    <row r="280" spans="1:13" s="656" customFormat="1" x14ac:dyDescent="0.2">
      <c r="D280" s="683"/>
      <c r="F280" s="683"/>
      <c r="G280" s="683"/>
      <c r="H280" s="683"/>
      <c r="I280" s="683"/>
      <c r="J280" s="683"/>
      <c r="K280" s="683"/>
      <c r="L280" s="683"/>
      <c r="M280" s="683"/>
    </row>
    <row r="281" spans="1:13" s="656" customFormat="1" x14ac:dyDescent="0.2">
      <c r="D281" s="683"/>
      <c r="F281" s="683"/>
      <c r="G281" s="683"/>
      <c r="H281" s="683"/>
      <c r="I281" s="683"/>
      <c r="J281" s="683"/>
      <c r="K281" s="683"/>
      <c r="L281" s="683"/>
      <c r="M281" s="683"/>
    </row>
    <row r="282" spans="1:13" s="656" customFormat="1" x14ac:dyDescent="0.2">
      <c r="D282" s="683"/>
      <c r="F282" s="683"/>
      <c r="G282" s="683"/>
      <c r="H282" s="683"/>
      <c r="I282" s="683"/>
      <c r="J282" s="683"/>
      <c r="K282" s="683"/>
      <c r="L282" s="683"/>
      <c r="M282" s="683"/>
    </row>
    <row r="283" spans="1:13" s="656" customFormat="1" x14ac:dyDescent="0.2">
      <c r="D283" s="683"/>
      <c r="F283" s="683"/>
      <c r="G283" s="683"/>
      <c r="H283" s="683"/>
      <c r="I283" s="683"/>
      <c r="J283" s="683"/>
      <c r="K283" s="683"/>
      <c r="L283" s="683"/>
      <c r="M283" s="683"/>
    </row>
    <row r="284" spans="1:13" s="656" customFormat="1" x14ac:dyDescent="0.2">
      <c r="D284" s="683"/>
      <c r="F284" s="683"/>
      <c r="G284" s="683"/>
      <c r="H284" s="683"/>
      <c r="I284" s="683"/>
      <c r="J284" s="683"/>
      <c r="K284" s="683"/>
      <c r="L284" s="683"/>
      <c r="M284" s="683"/>
    </row>
    <row r="285" spans="1:13" s="656" customFormat="1" x14ac:dyDescent="0.2">
      <c r="D285" s="683"/>
      <c r="F285" s="683"/>
      <c r="G285" s="683"/>
      <c r="H285" s="683"/>
      <c r="I285" s="683"/>
      <c r="J285" s="683"/>
      <c r="K285" s="683"/>
      <c r="L285" s="683"/>
      <c r="M285" s="683"/>
    </row>
    <row r="286" spans="1:13" s="656" customFormat="1" x14ac:dyDescent="0.2">
      <c r="D286" s="683"/>
      <c r="F286" s="683"/>
      <c r="G286" s="683"/>
      <c r="H286" s="683"/>
      <c r="I286" s="683"/>
      <c r="J286" s="683"/>
      <c r="K286" s="683"/>
      <c r="L286" s="683"/>
      <c r="M286" s="683"/>
    </row>
    <row r="287" spans="1:13" s="656" customFormat="1" x14ac:dyDescent="0.2">
      <c r="D287" s="683"/>
      <c r="F287" s="683"/>
      <c r="G287" s="683"/>
      <c r="H287" s="683"/>
      <c r="I287" s="683"/>
      <c r="J287" s="683"/>
      <c r="K287" s="683"/>
      <c r="L287" s="683"/>
      <c r="M287" s="683"/>
    </row>
    <row r="288" spans="1:13" s="656" customFormat="1" x14ac:dyDescent="0.2">
      <c r="D288" s="683"/>
      <c r="F288" s="683"/>
      <c r="G288" s="683"/>
      <c r="H288" s="683"/>
      <c r="I288" s="683"/>
      <c r="J288" s="683"/>
      <c r="K288" s="683"/>
      <c r="L288" s="683"/>
      <c r="M288" s="683"/>
    </row>
    <row r="289" spans="4:13" s="656" customFormat="1" x14ac:dyDescent="0.2">
      <c r="D289" s="683"/>
      <c r="F289" s="683"/>
      <c r="G289" s="683"/>
      <c r="H289" s="683"/>
      <c r="I289" s="683"/>
      <c r="J289" s="683"/>
      <c r="K289" s="683"/>
      <c r="L289" s="683"/>
      <c r="M289" s="683"/>
    </row>
    <row r="290" spans="4:13" s="656" customFormat="1" x14ac:dyDescent="0.2">
      <c r="D290" s="683"/>
      <c r="F290" s="683"/>
      <c r="G290" s="683"/>
      <c r="H290" s="683"/>
      <c r="I290" s="683"/>
      <c r="J290" s="683"/>
      <c r="K290" s="683"/>
      <c r="L290" s="683"/>
      <c r="M290" s="683"/>
    </row>
    <row r="291" spans="4:13" s="656" customFormat="1" x14ac:dyDescent="0.2">
      <c r="D291" s="683"/>
      <c r="F291" s="683"/>
      <c r="G291" s="683"/>
      <c r="H291" s="683"/>
      <c r="I291" s="683"/>
      <c r="J291" s="683"/>
      <c r="K291" s="683"/>
      <c r="L291" s="683"/>
      <c r="M291" s="683"/>
    </row>
    <row r="292" spans="4:13" s="656" customFormat="1" x14ac:dyDescent="0.2">
      <c r="D292" s="683"/>
      <c r="F292" s="683"/>
      <c r="G292" s="683"/>
      <c r="H292" s="683"/>
      <c r="I292" s="683"/>
      <c r="J292" s="683"/>
      <c r="K292" s="683"/>
      <c r="L292" s="683"/>
      <c r="M292" s="683"/>
    </row>
    <row r="293" spans="4:13" s="656" customFormat="1" x14ac:dyDescent="0.2">
      <c r="D293" s="683"/>
      <c r="F293" s="683"/>
      <c r="G293" s="683"/>
      <c r="H293" s="683"/>
      <c r="I293" s="683"/>
      <c r="J293" s="683"/>
      <c r="K293" s="683"/>
      <c r="L293" s="683"/>
      <c r="M293" s="683"/>
    </row>
    <row r="294" spans="4:13" s="656" customFormat="1" x14ac:dyDescent="0.2">
      <c r="D294" s="683"/>
      <c r="F294" s="683"/>
      <c r="G294" s="683"/>
      <c r="H294" s="683"/>
      <c r="I294" s="683"/>
      <c r="J294" s="683"/>
      <c r="K294" s="683"/>
      <c r="L294" s="683"/>
      <c r="M294" s="683"/>
    </row>
    <row r="295" spans="4:13" s="656" customFormat="1" x14ac:dyDescent="0.2">
      <c r="D295" s="683"/>
      <c r="F295" s="683"/>
      <c r="G295" s="683"/>
      <c r="H295" s="683"/>
      <c r="I295" s="683"/>
      <c r="J295" s="683"/>
      <c r="K295" s="683"/>
      <c r="L295" s="683"/>
      <c r="M295" s="683"/>
    </row>
    <row r="296" spans="4:13" s="656" customFormat="1" x14ac:dyDescent="0.2">
      <c r="D296" s="683"/>
      <c r="F296" s="683"/>
      <c r="G296" s="683"/>
      <c r="H296" s="683"/>
      <c r="I296" s="683"/>
      <c r="J296" s="683"/>
      <c r="K296" s="683"/>
      <c r="L296" s="683"/>
      <c r="M296" s="683"/>
    </row>
    <row r="297" spans="4:13" s="656" customFormat="1" x14ac:dyDescent="0.2">
      <c r="D297" s="683"/>
      <c r="F297" s="683"/>
      <c r="G297" s="683"/>
      <c r="H297" s="683"/>
      <c r="I297" s="683"/>
      <c r="J297" s="683"/>
      <c r="K297" s="683"/>
      <c r="L297" s="683"/>
      <c r="M297" s="683"/>
    </row>
    <row r="298" spans="4:13" s="656" customFormat="1" x14ac:dyDescent="0.2">
      <c r="D298" s="683"/>
      <c r="F298" s="683"/>
      <c r="G298" s="683"/>
      <c r="H298" s="683"/>
      <c r="I298" s="683"/>
      <c r="J298" s="683"/>
      <c r="K298" s="683"/>
      <c r="L298" s="683"/>
      <c r="M298" s="683"/>
    </row>
    <row r="299" spans="4:13" s="656" customFormat="1" x14ac:dyDescent="0.2">
      <c r="D299" s="683"/>
      <c r="F299" s="683"/>
      <c r="G299" s="683"/>
      <c r="H299" s="683"/>
      <c r="I299" s="683"/>
      <c r="J299" s="683"/>
      <c r="K299" s="683"/>
      <c r="L299" s="683"/>
      <c r="M299" s="683"/>
    </row>
    <row r="300" spans="4:13" s="656" customFormat="1" x14ac:dyDescent="0.2">
      <c r="D300" s="683"/>
      <c r="F300" s="683"/>
      <c r="G300" s="683"/>
      <c r="H300" s="683"/>
      <c r="I300" s="683"/>
      <c r="J300" s="683"/>
      <c r="K300" s="683"/>
      <c r="L300" s="683"/>
      <c r="M300" s="683"/>
    </row>
    <row r="301" spans="4:13" s="656" customFormat="1" x14ac:dyDescent="0.2">
      <c r="D301" s="683"/>
      <c r="F301" s="683"/>
      <c r="G301" s="683"/>
      <c r="H301" s="683"/>
      <c r="I301" s="683"/>
      <c r="J301" s="683"/>
      <c r="K301" s="683"/>
      <c r="L301" s="683"/>
      <c r="M301" s="683"/>
    </row>
    <row r="302" spans="4:13" s="656" customFormat="1" x14ac:dyDescent="0.2">
      <c r="D302" s="683"/>
      <c r="F302" s="683"/>
      <c r="G302" s="683"/>
      <c r="H302" s="683"/>
      <c r="I302" s="683"/>
      <c r="J302" s="683"/>
      <c r="K302" s="683"/>
      <c r="L302" s="683"/>
      <c r="M302" s="683"/>
    </row>
    <row r="303" spans="4:13" s="656" customFormat="1" x14ac:dyDescent="0.2">
      <c r="D303" s="683"/>
      <c r="F303" s="683"/>
      <c r="G303" s="683"/>
      <c r="H303" s="683"/>
      <c r="I303" s="683"/>
      <c r="J303" s="683"/>
      <c r="K303" s="683"/>
      <c r="L303" s="683"/>
      <c r="M303" s="683"/>
    </row>
    <row r="304" spans="4:13" s="656" customFormat="1" x14ac:dyDescent="0.2">
      <c r="D304" s="683"/>
      <c r="F304" s="683"/>
      <c r="G304" s="683"/>
      <c r="H304" s="683"/>
      <c r="I304" s="683"/>
      <c r="J304" s="683"/>
      <c r="K304" s="683"/>
      <c r="L304" s="683"/>
      <c r="M304" s="683"/>
    </row>
    <row r="305" spans="4:13" s="656" customFormat="1" x14ac:dyDescent="0.2">
      <c r="D305" s="683"/>
      <c r="F305" s="683"/>
      <c r="G305" s="683"/>
      <c r="H305" s="683"/>
      <c r="I305" s="683"/>
      <c r="J305" s="683"/>
      <c r="K305" s="683"/>
      <c r="L305" s="683"/>
      <c r="M305" s="683"/>
    </row>
    <row r="306" spans="4:13" s="656" customFormat="1" x14ac:dyDescent="0.2">
      <c r="D306" s="683"/>
      <c r="F306" s="683"/>
      <c r="G306" s="683"/>
      <c r="H306" s="683"/>
      <c r="I306" s="683"/>
      <c r="J306" s="683"/>
      <c r="K306" s="683"/>
      <c r="L306" s="683"/>
      <c r="M306" s="683"/>
    </row>
    <row r="307" spans="4:13" s="656" customFormat="1" x14ac:dyDescent="0.2">
      <c r="D307" s="683"/>
      <c r="F307" s="683"/>
      <c r="G307" s="683"/>
      <c r="H307" s="683"/>
      <c r="I307" s="683"/>
      <c r="J307" s="683"/>
      <c r="K307" s="683"/>
      <c r="L307" s="683"/>
      <c r="M307" s="683"/>
    </row>
    <row r="308" spans="4:13" s="656" customFormat="1" x14ac:dyDescent="0.2">
      <c r="D308" s="683"/>
      <c r="F308" s="683"/>
      <c r="G308" s="683"/>
      <c r="H308" s="683"/>
      <c r="I308" s="683"/>
      <c r="J308" s="683"/>
      <c r="K308" s="683"/>
      <c r="L308" s="683"/>
      <c r="M308" s="683"/>
    </row>
    <row r="309" spans="4:13" s="656" customFormat="1" x14ac:dyDescent="0.2">
      <c r="D309" s="683"/>
      <c r="F309" s="683"/>
      <c r="G309" s="683"/>
      <c r="H309" s="683"/>
      <c r="I309" s="683"/>
      <c r="J309" s="683"/>
      <c r="K309" s="683"/>
      <c r="L309" s="683"/>
      <c r="M309" s="683"/>
    </row>
    <row r="310" spans="4:13" s="656" customFormat="1" x14ac:dyDescent="0.2">
      <c r="D310" s="683"/>
      <c r="F310" s="683"/>
      <c r="G310" s="683"/>
      <c r="H310" s="683"/>
      <c r="I310" s="683"/>
      <c r="J310" s="683"/>
      <c r="K310" s="683"/>
      <c r="L310" s="683"/>
      <c r="M310" s="683"/>
    </row>
    <row r="311" spans="4:13" s="656" customFormat="1" x14ac:dyDescent="0.2">
      <c r="D311" s="683"/>
      <c r="F311" s="683"/>
      <c r="G311" s="683"/>
      <c r="H311" s="683"/>
      <c r="I311" s="683"/>
      <c r="J311" s="683"/>
      <c r="K311" s="683"/>
      <c r="L311" s="683"/>
      <c r="M311" s="683"/>
    </row>
    <row r="312" spans="4:13" s="656" customFormat="1" x14ac:dyDescent="0.2">
      <c r="D312" s="683"/>
      <c r="F312" s="683"/>
      <c r="G312" s="683"/>
      <c r="H312" s="683"/>
      <c r="I312" s="683"/>
      <c r="J312" s="683"/>
      <c r="K312" s="683"/>
      <c r="L312" s="683"/>
      <c r="M312" s="683"/>
    </row>
    <row r="313" spans="4:13" s="656" customFormat="1" x14ac:dyDescent="0.2">
      <c r="D313" s="683"/>
      <c r="F313" s="683"/>
      <c r="G313" s="683"/>
      <c r="H313" s="683"/>
      <c r="I313" s="683"/>
      <c r="J313" s="683"/>
      <c r="K313" s="683"/>
      <c r="L313" s="683"/>
      <c r="M313" s="683"/>
    </row>
    <row r="314" spans="4:13" s="656" customFormat="1" x14ac:dyDescent="0.2">
      <c r="D314" s="683"/>
      <c r="F314" s="683"/>
      <c r="G314" s="683"/>
      <c r="H314" s="683"/>
      <c r="I314" s="683"/>
      <c r="J314" s="683"/>
      <c r="K314" s="683"/>
      <c r="L314" s="683"/>
      <c r="M314" s="683"/>
    </row>
    <row r="315" spans="4:13" s="656" customFormat="1" x14ac:dyDescent="0.2">
      <c r="D315" s="683"/>
      <c r="F315" s="683"/>
      <c r="G315" s="683"/>
      <c r="H315" s="683"/>
      <c r="I315" s="683"/>
      <c r="J315" s="683"/>
      <c r="K315" s="683"/>
      <c r="L315" s="683"/>
      <c r="M315" s="683"/>
    </row>
    <row r="316" spans="4:13" s="656" customFormat="1" x14ac:dyDescent="0.2">
      <c r="D316" s="683"/>
      <c r="F316" s="683"/>
      <c r="G316" s="683"/>
      <c r="H316" s="683"/>
      <c r="I316" s="683"/>
      <c r="J316" s="683"/>
      <c r="K316" s="683"/>
      <c r="L316" s="683"/>
      <c r="M316" s="683"/>
    </row>
    <row r="317" spans="4:13" s="656" customFormat="1" x14ac:dyDescent="0.2">
      <c r="D317" s="683"/>
      <c r="F317" s="683"/>
      <c r="G317" s="683"/>
      <c r="H317" s="683"/>
      <c r="I317" s="683"/>
      <c r="J317" s="683"/>
      <c r="K317" s="683"/>
      <c r="L317" s="683"/>
      <c r="M317" s="683"/>
    </row>
    <row r="318" spans="4:13" s="656" customFormat="1" x14ac:dyDescent="0.2">
      <c r="D318" s="683"/>
      <c r="F318" s="683"/>
      <c r="G318" s="683"/>
      <c r="H318" s="683"/>
      <c r="I318" s="683"/>
      <c r="J318" s="683"/>
      <c r="K318" s="683"/>
      <c r="L318" s="683"/>
      <c r="M318" s="683"/>
    </row>
    <row r="319" spans="4:13" s="656" customFormat="1" x14ac:dyDescent="0.2">
      <c r="D319" s="683"/>
      <c r="F319" s="683"/>
      <c r="G319" s="683"/>
      <c r="H319" s="683"/>
      <c r="I319" s="683"/>
      <c r="J319" s="683"/>
      <c r="K319" s="683"/>
      <c r="L319" s="683"/>
      <c r="M319" s="683"/>
    </row>
    <row r="320" spans="4:13" s="656" customFormat="1" x14ac:dyDescent="0.2">
      <c r="D320" s="683"/>
      <c r="F320" s="683"/>
      <c r="G320" s="683"/>
      <c r="H320" s="683"/>
      <c r="I320" s="683"/>
      <c r="J320" s="683"/>
      <c r="K320" s="683"/>
      <c r="L320" s="683"/>
      <c r="M320" s="683"/>
    </row>
    <row r="321" spans="4:13" s="656" customFormat="1" x14ac:dyDescent="0.2">
      <c r="D321" s="683"/>
      <c r="F321" s="683"/>
      <c r="G321" s="683"/>
      <c r="H321" s="683"/>
      <c r="I321" s="683"/>
      <c r="J321" s="683"/>
      <c r="K321" s="683"/>
      <c r="L321" s="683"/>
      <c r="M321" s="683"/>
    </row>
    <row r="322" spans="4:13" s="656" customFormat="1" x14ac:dyDescent="0.2">
      <c r="D322" s="683"/>
      <c r="F322" s="683"/>
      <c r="G322" s="683"/>
      <c r="H322" s="683"/>
      <c r="I322" s="683"/>
      <c r="J322" s="683"/>
      <c r="K322" s="683"/>
      <c r="L322" s="683"/>
      <c r="M322" s="683"/>
    </row>
    <row r="323" spans="4:13" s="656" customFormat="1" x14ac:dyDescent="0.2">
      <c r="D323" s="683"/>
      <c r="F323" s="683"/>
      <c r="G323" s="683"/>
      <c r="H323" s="683"/>
      <c r="I323" s="683"/>
      <c r="J323" s="683"/>
      <c r="K323" s="683"/>
      <c r="L323" s="683"/>
      <c r="M323" s="683"/>
    </row>
    <row r="324" spans="4:13" s="656" customFormat="1" x14ac:dyDescent="0.2">
      <c r="D324" s="683"/>
      <c r="F324" s="683"/>
      <c r="G324" s="683"/>
      <c r="H324" s="683"/>
      <c r="I324" s="683"/>
      <c r="J324" s="683"/>
      <c r="K324" s="683"/>
      <c r="L324" s="683"/>
      <c r="M324" s="683"/>
    </row>
    <row r="325" spans="4:13" s="656" customFormat="1" x14ac:dyDescent="0.2">
      <c r="D325" s="683"/>
      <c r="F325" s="683"/>
      <c r="G325" s="683"/>
      <c r="H325" s="683"/>
      <c r="I325" s="683"/>
      <c r="J325" s="683"/>
      <c r="K325" s="683"/>
      <c r="L325" s="683"/>
      <c r="M325" s="683"/>
    </row>
    <row r="326" spans="4:13" s="656" customFormat="1" x14ac:dyDescent="0.2">
      <c r="D326" s="683"/>
      <c r="F326" s="683"/>
      <c r="G326" s="683"/>
      <c r="H326" s="683"/>
      <c r="I326" s="683"/>
      <c r="J326" s="683"/>
      <c r="K326" s="683"/>
      <c r="L326" s="683"/>
      <c r="M326" s="683"/>
    </row>
    <row r="327" spans="4:13" s="656" customFormat="1" x14ac:dyDescent="0.2">
      <c r="D327" s="683"/>
      <c r="F327" s="683"/>
      <c r="G327" s="683"/>
      <c r="H327" s="683"/>
      <c r="I327" s="683"/>
      <c r="J327" s="683"/>
      <c r="K327" s="683"/>
      <c r="L327" s="683"/>
      <c r="M327" s="683"/>
    </row>
    <row r="328" spans="4:13" s="656" customFormat="1" x14ac:dyDescent="0.2">
      <c r="D328" s="683"/>
      <c r="F328" s="683"/>
      <c r="G328" s="683"/>
      <c r="H328" s="683"/>
      <c r="I328" s="683"/>
      <c r="J328" s="683"/>
      <c r="K328" s="683"/>
      <c r="L328" s="683"/>
      <c r="M328" s="683"/>
    </row>
    <row r="329" spans="4:13" s="656" customFormat="1" x14ac:dyDescent="0.2">
      <c r="D329" s="683"/>
      <c r="F329" s="683"/>
      <c r="G329" s="683"/>
      <c r="H329" s="683"/>
      <c r="I329" s="683"/>
      <c r="J329" s="683"/>
      <c r="K329" s="683"/>
      <c r="L329" s="683"/>
      <c r="M329" s="683"/>
    </row>
    <row r="330" spans="4:13" s="656" customFormat="1" x14ac:dyDescent="0.2">
      <c r="D330" s="683"/>
      <c r="F330" s="683"/>
      <c r="G330" s="683"/>
      <c r="H330" s="683"/>
      <c r="I330" s="683"/>
      <c r="J330" s="683"/>
      <c r="K330" s="683"/>
      <c r="L330" s="683"/>
      <c r="M330" s="683"/>
    </row>
    <row r="331" spans="4:13" s="656" customFormat="1" x14ac:dyDescent="0.2">
      <c r="D331" s="683"/>
      <c r="F331" s="683"/>
      <c r="G331" s="683"/>
      <c r="H331" s="683"/>
      <c r="I331" s="683"/>
      <c r="J331" s="683"/>
      <c r="K331" s="683"/>
      <c r="L331" s="683"/>
      <c r="M331" s="683"/>
    </row>
    <row r="332" spans="4:13" s="656" customFormat="1" x14ac:dyDescent="0.2">
      <c r="D332" s="683"/>
      <c r="F332" s="683"/>
      <c r="G332" s="683"/>
      <c r="H332" s="683"/>
      <c r="I332" s="683"/>
      <c r="J332" s="683"/>
      <c r="K332" s="683"/>
      <c r="L332" s="683"/>
      <c r="M332" s="683"/>
    </row>
    <row r="333" spans="4:13" s="656" customFormat="1" x14ac:dyDescent="0.2">
      <c r="D333" s="683"/>
      <c r="F333" s="683"/>
      <c r="G333" s="683"/>
      <c r="H333" s="683"/>
      <c r="I333" s="683"/>
      <c r="J333" s="683"/>
      <c r="K333" s="683"/>
      <c r="L333" s="683"/>
      <c r="M333" s="683"/>
    </row>
    <row r="334" spans="4:13" s="656" customFormat="1" x14ac:dyDescent="0.2">
      <c r="D334" s="683"/>
      <c r="F334" s="683"/>
      <c r="G334" s="683"/>
      <c r="H334" s="683"/>
      <c r="I334" s="683"/>
      <c r="J334" s="683"/>
      <c r="K334" s="683"/>
      <c r="L334" s="683"/>
      <c r="M334" s="683"/>
    </row>
    <row r="335" spans="4:13" s="656" customFormat="1" x14ac:dyDescent="0.2">
      <c r="D335" s="683"/>
      <c r="F335" s="683"/>
      <c r="G335" s="683"/>
      <c r="H335" s="683"/>
      <c r="I335" s="683"/>
      <c r="J335" s="683"/>
      <c r="K335" s="683"/>
      <c r="L335" s="683"/>
      <c r="M335" s="683"/>
    </row>
    <row r="336" spans="4:13" s="656" customFormat="1" x14ac:dyDescent="0.2">
      <c r="D336" s="683"/>
      <c r="F336" s="683"/>
      <c r="G336" s="683"/>
      <c r="H336" s="683"/>
      <c r="I336" s="683"/>
      <c r="J336" s="683"/>
      <c r="K336" s="683"/>
      <c r="L336" s="683"/>
      <c r="M336" s="683"/>
    </row>
    <row r="337" spans="4:13" s="656" customFormat="1" x14ac:dyDescent="0.2">
      <c r="D337" s="683"/>
      <c r="F337" s="683"/>
      <c r="G337" s="683"/>
      <c r="H337" s="683"/>
      <c r="I337" s="683"/>
      <c r="J337" s="683"/>
      <c r="K337" s="683"/>
      <c r="L337" s="683"/>
      <c r="M337" s="683"/>
    </row>
    <row r="338" spans="4:13" s="656" customFormat="1" x14ac:dyDescent="0.2">
      <c r="D338" s="683"/>
      <c r="F338" s="683"/>
      <c r="G338" s="683"/>
      <c r="H338" s="683"/>
      <c r="I338" s="683"/>
      <c r="J338" s="683"/>
      <c r="K338" s="683"/>
      <c r="L338" s="683"/>
      <c r="M338" s="683"/>
    </row>
    <row r="339" spans="4:13" s="656" customFormat="1" x14ac:dyDescent="0.2">
      <c r="D339" s="683"/>
      <c r="F339" s="683"/>
      <c r="G339" s="683"/>
      <c r="H339" s="683"/>
      <c r="I339" s="683"/>
      <c r="J339" s="683"/>
      <c r="K339" s="683"/>
      <c r="L339" s="683"/>
      <c r="M339" s="683"/>
    </row>
    <row r="340" spans="4:13" s="656" customFormat="1" x14ac:dyDescent="0.2">
      <c r="D340" s="683"/>
      <c r="F340" s="683"/>
      <c r="G340" s="683"/>
      <c r="H340" s="683"/>
      <c r="I340" s="683"/>
      <c r="J340" s="683"/>
      <c r="K340" s="683"/>
      <c r="L340" s="683"/>
      <c r="M340" s="683"/>
    </row>
    <row r="341" spans="4:13" s="656" customFormat="1" x14ac:dyDescent="0.2">
      <c r="D341" s="683"/>
      <c r="F341" s="683"/>
      <c r="G341" s="683"/>
      <c r="H341" s="683"/>
      <c r="I341" s="683"/>
      <c r="J341" s="683"/>
      <c r="K341" s="683"/>
      <c r="L341" s="683"/>
      <c r="M341" s="683"/>
    </row>
    <row r="342" spans="4:13" s="656" customFormat="1" x14ac:dyDescent="0.2">
      <c r="D342" s="683"/>
      <c r="F342" s="683"/>
      <c r="G342" s="683"/>
      <c r="H342" s="683"/>
      <c r="I342" s="683"/>
      <c r="J342" s="683"/>
      <c r="K342" s="683"/>
      <c r="L342" s="683"/>
      <c r="M342" s="683"/>
    </row>
    <row r="343" spans="4:13" s="656" customFormat="1" x14ac:dyDescent="0.2">
      <c r="D343" s="683"/>
      <c r="F343" s="683"/>
      <c r="G343" s="683"/>
      <c r="H343" s="683"/>
      <c r="I343" s="683"/>
      <c r="J343" s="683"/>
      <c r="K343" s="683"/>
      <c r="L343" s="683"/>
      <c r="M343" s="683"/>
    </row>
    <row r="344" spans="4:13" s="656" customFormat="1" x14ac:dyDescent="0.2">
      <c r="D344" s="683"/>
      <c r="F344" s="683"/>
      <c r="G344" s="683"/>
      <c r="H344" s="683"/>
      <c r="I344" s="683"/>
      <c r="J344" s="683"/>
      <c r="K344" s="683"/>
      <c r="L344" s="683"/>
      <c r="M344" s="683"/>
    </row>
    <row r="345" spans="4:13" s="656" customFormat="1" x14ac:dyDescent="0.2">
      <c r="D345" s="683"/>
      <c r="F345" s="683"/>
      <c r="G345" s="683"/>
      <c r="H345" s="683"/>
      <c r="I345" s="683"/>
      <c r="J345" s="683"/>
      <c r="K345" s="683"/>
      <c r="L345" s="683"/>
      <c r="M345" s="683"/>
    </row>
    <row r="346" spans="4:13" s="656" customFormat="1" x14ac:dyDescent="0.2">
      <c r="D346" s="683"/>
      <c r="F346" s="683"/>
      <c r="G346" s="683"/>
      <c r="H346" s="683"/>
      <c r="I346" s="683"/>
      <c r="J346" s="683"/>
      <c r="K346" s="683"/>
      <c r="L346" s="683"/>
      <c r="M346" s="683"/>
    </row>
    <row r="347" spans="4:13" s="656" customFormat="1" x14ac:dyDescent="0.2">
      <c r="D347" s="683"/>
      <c r="F347" s="683"/>
      <c r="G347" s="683"/>
      <c r="H347" s="683"/>
      <c r="I347" s="683"/>
      <c r="J347" s="683"/>
      <c r="K347" s="683"/>
      <c r="L347" s="683"/>
      <c r="M347" s="683"/>
    </row>
    <row r="348" spans="4:13" s="656" customFormat="1" x14ac:dyDescent="0.2">
      <c r="D348" s="683"/>
      <c r="F348" s="683"/>
      <c r="G348" s="683"/>
      <c r="H348" s="683"/>
      <c r="I348" s="683"/>
      <c r="J348" s="683"/>
      <c r="K348" s="683"/>
      <c r="L348" s="683"/>
      <c r="M348" s="683"/>
    </row>
    <row r="349" spans="4:13" s="656" customFormat="1" x14ac:dyDescent="0.2">
      <c r="D349" s="683"/>
      <c r="F349" s="683"/>
      <c r="G349" s="683"/>
      <c r="H349" s="683"/>
      <c r="I349" s="683"/>
      <c r="J349" s="683"/>
      <c r="K349" s="683"/>
      <c r="L349" s="683"/>
      <c r="M349" s="683"/>
    </row>
    <row r="350" spans="4:13" s="656" customFormat="1" x14ac:dyDescent="0.2">
      <c r="D350" s="683"/>
      <c r="F350" s="683"/>
      <c r="G350" s="683"/>
      <c r="H350" s="683"/>
      <c r="I350" s="683"/>
      <c r="J350" s="683"/>
      <c r="K350" s="683"/>
      <c r="L350" s="683"/>
      <c r="M350" s="683"/>
    </row>
    <row r="351" spans="4:13" s="656" customFormat="1" x14ac:dyDescent="0.2">
      <c r="D351" s="683"/>
      <c r="F351" s="683"/>
      <c r="G351" s="683"/>
      <c r="H351" s="683"/>
      <c r="I351" s="683"/>
      <c r="J351" s="683"/>
      <c r="K351" s="683"/>
      <c r="L351" s="683"/>
      <c r="M351" s="683"/>
    </row>
    <row r="352" spans="4:13" s="656" customFormat="1" x14ac:dyDescent="0.2">
      <c r="D352" s="683"/>
      <c r="F352" s="683"/>
      <c r="G352" s="683"/>
      <c r="H352" s="683"/>
      <c r="I352" s="683"/>
      <c r="J352" s="683"/>
      <c r="K352" s="683"/>
      <c r="L352" s="683"/>
      <c r="M352" s="683"/>
    </row>
    <row r="353" spans="4:13" s="656" customFormat="1" x14ac:dyDescent="0.2">
      <c r="D353" s="683"/>
      <c r="F353" s="683"/>
      <c r="G353" s="683"/>
      <c r="H353" s="683"/>
      <c r="I353" s="683"/>
      <c r="J353" s="683"/>
      <c r="K353" s="683"/>
      <c r="L353" s="683"/>
      <c r="M353" s="683"/>
    </row>
    <row r="354" spans="4:13" s="656" customFormat="1" x14ac:dyDescent="0.2">
      <c r="D354" s="683"/>
      <c r="F354" s="683"/>
      <c r="G354" s="683"/>
      <c r="H354" s="683"/>
      <c r="I354" s="683"/>
      <c r="J354" s="683"/>
      <c r="K354" s="683"/>
      <c r="L354" s="683"/>
      <c r="M354" s="683"/>
    </row>
    <row r="355" spans="4:13" s="656" customFormat="1" x14ac:dyDescent="0.2">
      <c r="D355" s="683"/>
      <c r="F355" s="683"/>
      <c r="G355" s="683"/>
      <c r="H355" s="683"/>
      <c r="I355" s="683"/>
      <c r="J355" s="683"/>
      <c r="K355" s="683"/>
      <c r="L355" s="683"/>
      <c r="M355" s="683"/>
    </row>
    <row r="356" spans="4:13" s="656" customFormat="1" x14ac:dyDescent="0.2">
      <c r="D356" s="683"/>
      <c r="F356" s="683"/>
      <c r="G356" s="683"/>
      <c r="H356" s="683"/>
      <c r="I356" s="683"/>
      <c r="J356" s="683"/>
      <c r="K356" s="683"/>
      <c r="L356" s="683"/>
      <c r="M356" s="683"/>
    </row>
    <row r="357" spans="4:13" s="656" customFormat="1" x14ac:dyDescent="0.2">
      <c r="D357" s="683"/>
      <c r="F357" s="683"/>
      <c r="G357" s="683"/>
      <c r="H357" s="683"/>
      <c r="I357" s="683"/>
      <c r="J357" s="683"/>
      <c r="K357" s="683"/>
      <c r="L357" s="683"/>
      <c r="M357" s="683"/>
    </row>
    <row r="358" spans="4:13" s="656" customFormat="1" x14ac:dyDescent="0.2">
      <c r="D358" s="683"/>
      <c r="F358" s="683"/>
      <c r="G358" s="683"/>
      <c r="H358" s="683"/>
      <c r="I358" s="683"/>
      <c r="J358" s="683"/>
      <c r="K358" s="683"/>
      <c r="L358" s="683"/>
      <c r="M358" s="683"/>
    </row>
    <row r="359" spans="4:13" s="656" customFormat="1" x14ac:dyDescent="0.2">
      <c r="D359" s="683"/>
      <c r="F359" s="683"/>
      <c r="G359" s="683"/>
      <c r="H359" s="683"/>
      <c r="I359" s="683"/>
      <c r="J359" s="683"/>
      <c r="K359" s="683"/>
      <c r="L359" s="683"/>
      <c r="M359" s="683"/>
    </row>
    <row r="360" spans="4:13" s="656" customFormat="1" x14ac:dyDescent="0.2">
      <c r="D360" s="683"/>
      <c r="F360" s="683"/>
      <c r="G360" s="683"/>
      <c r="H360" s="683"/>
      <c r="I360" s="683"/>
      <c r="J360" s="683"/>
      <c r="K360" s="683"/>
      <c r="L360" s="683"/>
      <c r="M360" s="683"/>
    </row>
    <row r="361" spans="4:13" s="656" customFormat="1" x14ac:dyDescent="0.2">
      <c r="D361" s="683"/>
      <c r="F361" s="683"/>
      <c r="G361" s="683"/>
      <c r="H361" s="683"/>
      <c r="I361" s="683"/>
      <c r="J361" s="683"/>
      <c r="K361" s="683"/>
      <c r="L361" s="683"/>
      <c r="M361" s="683"/>
    </row>
    <row r="362" spans="4:13" s="656" customFormat="1" x14ac:dyDescent="0.2">
      <c r="D362" s="683"/>
      <c r="F362" s="683"/>
      <c r="G362" s="683"/>
      <c r="H362" s="683"/>
      <c r="I362" s="683"/>
      <c r="J362" s="683"/>
      <c r="K362" s="683"/>
      <c r="L362" s="683"/>
      <c r="M362" s="683"/>
    </row>
    <row r="363" spans="4:13" s="656" customFormat="1" x14ac:dyDescent="0.2">
      <c r="D363" s="683"/>
      <c r="F363" s="683"/>
      <c r="G363" s="683"/>
      <c r="H363" s="683"/>
      <c r="I363" s="683"/>
      <c r="J363" s="683"/>
      <c r="K363" s="683"/>
      <c r="L363" s="683"/>
      <c r="M363" s="683"/>
    </row>
    <row r="364" spans="4:13" s="656" customFormat="1" x14ac:dyDescent="0.2">
      <c r="D364" s="683"/>
      <c r="F364" s="683"/>
      <c r="G364" s="683"/>
      <c r="H364" s="683"/>
      <c r="I364" s="683"/>
      <c r="J364" s="683"/>
      <c r="K364" s="683"/>
      <c r="L364" s="683"/>
      <c r="M364" s="683"/>
    </row>
    <row r="365" spans="4:13" s="656" customFormat="1" x14ac:dyDescent="0.2">
      <c r="D365" s="683"/>
      <c r="F365" s="683"/>
      <c r="G365" s="683"/>
      <c r="H365" s="683"/>
      <c r="I365" s="683"/>
      <c r="J365" s="683"/>
      <c r="K365" s="683"/>
      <c r="L365" s="683"/>
      <c r="M365" s="683"/>
    </row>
    <row r="366" spans="4:13" s="656" customFormat="1" x14ac:dyDescent="0.2">
      <c r="D366" s="683"/>
      <c r="F366" s="683"/>
      <c r="G366" s="683"/>
      <c r="H366" s="683"/>
      <c r="I366" s="683"/>
      <c r="J366" s="683"/>
      <c r="K366" s="683"/>
      <c r="L366" s="683"/>
      <c r="M366" s="683"/>
    </row>
    <row r="367" spans="4:13" s="656" customFormat="1" x14ac:dyDescent="0.2">
      <c r="D367" s="683"/>
      <c r="F367" s="683"/>
      <c r="G367" s="683"/>
      <c r="H367" s="683"/>
      <c r="I367" s="683"/>
      <c r="J367" s="683"/>
      <c r="K367" s="683"/>
      <c r="L367" s="683"/>
      <c r="M367" s="683"/>
    </row>
    <row r="368" spans="4:13" s="656" customFormat="1" x14ac:dyDescent="0.2">
      <c r="D368" s="683"/>
      <c r="F368" s="683"/>
      <c r="G368" s="683"/>
      <c r="H368" s="683"/>
      <c r="I368" s="683"/>
      <c r="J368" s="683"/>
      <c r="K368" s="683"/>
      <c r="L368" s="683"/>
      <c r="M368" s="683"/>
    </row>
    <row r="369" spans="4:13" s="656" customFormat="1" x14ac:dyDescent="0.2">
      <c r="D369" s="683"/>
      <c r="F369" s="683"/>
      <c r="G369" s="683"/>
      <c r="H369" s="683"/>
      <c r="I369" s="683"/>
      <c r="J369" s="683"/>
      <c r="K369" s="683"/>
      <c r="L369" s="683"/>
      <c r="M369" s="683"/>
    </row>
    <row r="370" spans="4:13" s="656" customFormat="1" x14ac:dyDescent="0.2">
      <c r="D370" s="683"/>
      <c r="F370" s="683"/>
      <c r="G370" s="683"/>
      <c r="H370" s="683"/>
      <c r="I370" s="683"/>
      <c r="J370" s="683"/>
      <c r="K370" s="683"/>
      <c r="L370" s="683"/>
      <c r="M370" s="683"/>
    </row>
    <row r="371" spans="4:13" s="656" customFormat="1" x14ac:dyDescent="0.2">
      <c r="D371" s="683"/>
      <c r="F371" s="683"/>
      <c r="G371" s="683"/>
      <c r="H371" s="683"/>
      <c r="I371" s="683"/>
      <c r="J371" s="683"/>
      <c r="K371" s="683"/>
      <c r="L371" s="683"/>
      <c r="M371" s="683"/>
    </row>
    <row r="372" spans="4:13" s="656" customFormat="1" x14ac:dyDescent="0.2">
      <c r="D372" s="683"/>
      <c r="F372" s="683"/>
      <c r="G372" s="683"/>
      <c r="H372" s="683"/>
      <c r="I372" s="683"/>
      <c r="J372" s="683"/>
      <c r="K372" s="683"/>
      <c r="L372" s="683"/>
      <c r="M372" s="683"/>
    </row>
    <row r="373" spans="4:13" s="656" customFormat="1" x14ac:dyDescent="0.2">
      <c r="D373" s="683"/>
      <c r="F373" s="683"/>
      <c r="G373" s="683"/>
      <c r="H373" s="683"/>
      <c r="I373" s="683"/>
      <c r="J373" s="683"/>
      <c r="K373" s="683"/>
      <c r="L373" s="683"/>
      <c r="M373" s="683"/>
    </row>
    <row r="374" spans="4:13" s="656" customFormat="1" x14ac:dyDescent="0.2">
      <c r="D374" s="683"/>
      <c r="F374" s="683"/>
      <c r="G374" s="683"/>
      <c r="H374" s="683"/>
      <c r="I374" s="683"/>
      <c r="J374" s="683"/>
      <c r="K374" s="683"/>
      <c r="L374" s="683"/>
      <c r="M374" s="683"/>
    </row>
    <row r="375" spans="4:13" s="656" customFormat="1" x14ac:dyDescent="0.2">
      <c r="D375" s="683"/>
      <c r="F375" s="683"/>
      <c r="G375" s="683"/>
      <c r="H375" s="683"/>
      <c r="I375" s="683"/>
      <c r="J375" s="683"/>
      <c r="K375" s="683"/>
      <c r="L375" s="683"/>
      <c r="M375" s="683"/>
    </row>
    <row r="376" spans="4:13" s="656" customFormat="1" x14ac:dyDescent="0.2">
      <c r="D376" s="683"/>
      <c r="F376" s="683"/>
      <c r="G376" s="683"/>
      <c r="H376" s="683"/>
      <c r="I376" s="683"/>
      <c r="J376" s="683"/>
      <c r="K376" s="683"/>
      <c r="L376" s="683"/>
      <c r="M376" s="683"/>
    </row>
    <row r="377" spans="4:13" s="656" customFormat="1" x14ac:dyDescent="0.2">
      <c r="D377" s="683"/>
      <c r="F377" s="683"/>
      <c r="G377" s="683"/>
      <c r="H377" s="683"/>
      <c r="I377" s="683"/>
      <c r="J377" s="683"/>
      <c r="K377" s="683"/>
      <c r="L377" s="683"/>
      <c r="M377" s="683"/>
    </row>
    <row r="378" spans="4:13" s="656" customFormat="1" x14ac:dyDescent="0.2">
      <c r="D378" s="683"/>
      <c r="F378" s="683"/>
      <c r="G378" s="683"/>
      <c r="H378" s="683"/>
      <c r="I378" s="683"/>
      <c r="J378" s="683"/>
      <c r="K378" s="683"/>
      <c r="L378" s="683"/>
      <c r="M378" s="683"/>
    </row>
    <row r="379" spans="4:13" s="656" customFormat="1" x14ac:dyDescent="0.2">
      <c r="D379" s="683"/>
      <c r="F379" s="683"/>
      <c r="G379" s="683"/>
      <c r="H379" s="683"/>
      <c r="I379" s="683"/>
      <c r="J379" s="683"/>
      <c r="K379" s="683"/>
      <c r="L379" s="683"/>
      <c r="M379" s="683"/>
    </row>
    <row r="380" spans="4:13" s="656" customFormat="1" x14ac:dyDescent="0.2">
      <c r="D380" s="683"/>
      <c r="F380" s="683"/>
      <c r="G380" s="683"/>
      <c r="H380" s="683"/>
      <c r="I380" s="683"/>
      <c r="J380" s="683"/>
      <c r="K380" s="683"/>
      <c r="L380" s="683"/>
      <c r="M380" s="683"/>
    </row>
    <row r="381" spans="4:13" s="656" customFormat="1" x14ac:dyDescent="0.2">
      <c r="D381" s="683"/>
      <c r="F381" s="683"/>
      <c r="G381" s="683"/>
      <c r="H381" s="683"/>
      <c r="I381" s="683"/>
      <c r="J381" s="683"/>
      <c r="K381" s="683"/>
      <c r="L381" s="683"/>
      <c r="M381" s="683"/>
    </row>
    <row r="382" spans="4:13" s="656" customFormat="1" x14ac:dyDescent="0.2">
      <c r="D382" s="683"/>
      <c r="F382" s="683"/>
      <c r="G382" s="683"/>
      <c r="H382" s="683"/>
      <c r="I382" s="683"/>
      <c r="J382" s="683"/>
      <c r="K382" s="683"/>
      <c r="L382" s="683"/>
      <c r="M382" s="683"/>
    </row>
    <row r="383" spans="4:13" s="656" customFormat="1" x14ac:dyDescent="0.2">
      <c r="D383" s="683"/>
      <c r="F383" s="683"/>
      <c r="G383" s="683"/>
      <c r="H383" s="683"/>
      <c r="I383" s="683"/>
      <c r="J383" s="683"/>
      <c r="K383" s="683"/>
      <c r="L383" s="683"/>
      <c r="M383" s="683"/>
    </row>
    <row r="384" spans="4:13" s="656" customFormat="1" x14ac:dyDescent="0.2">
      <c r="D384" s="683"/>
      <c r="F384" s="683"/>
      <c r="G384" s="683"/>
      <c r="H384" s="683"/>
      <c r="I384" s="683"/>
      <c r="J384" s="683"/>
      <c r="K384" s="683"/>
      <c r="L384" s="683"/>
      <c r="M384" s="683"/>
    </row>
    <row r="385" spans="4:13" s="656" customFormat="1" x14ac:dyDescent="0.2">
      <c r="D385" s="683"/>
      <c r="F385" s="683"/>
      <c r="G385" s="683"/>
      <c r="H385" s="683"/>
      <c r="I385" s="683"/>
      <c r="J385" s="683"/>
      <c r="K385" s="683"/>
      <c r="L385" s="683"/>
      <c r="M385" s="683"/>
    </row>
    <row r="386" spans="4:13" s="656" customFormat="1" x14ac:dyDescent="0.2">
      <c r="D386" s="683"/>
      <c r="F386" s="683"/>
      <c r="G386" s="683"/>
      <c r="H386" s="683"/>
      <c r="I386" s="683"/>
      <c r="J386" s="683"/>
      <c r="K386" s="683"/>
      <c r="L386" s="683"/>
      <c r="M386" s="683"/>
    </row>
    <row r="387" spans="4:13" s="656" customFormat="1" x14ac:dyDescent="0.2">
      <c r="D387" s="683"/>
      <c r="F387" s="683"/>
      <c r="G387" s="683"/>
      <c r="H387" s="683"/>
      <c r="I387" s="683"/>
      <c r="J387" s="683"/>
      <c r="K387" s="683"/>
      <c r="L387" s="683"/>
      <c r="M387" s="683"/>
    </row>
    <row r="388" spans="4:13" s="656" customFormat="1" x14ac:dyDescent="0.2">
      <c r="D388" s="683"/>
      <c r="F388" s="683"/>
      <c r="G388" s="683"/>
      <c r="H388" s="683"/>
      <c r="I388" s="683"/>
      <c r="J388" s="683"/>
      <c r="K388" s="683"/>
      <c r="L388" s="683"/>
      <c r="M388" s="683"/>
    </row>
    <row r="389" spans="4:13" s="656" customFormat="1" x14ac:dyDescent="0.2">
      <c r="D389" s="683"/>
      <c r="F389" s="683"/>
      <c r="G389" s="683"/>
      <c r="H389" s="683"/>
      <c r="I389" s="683"/>
      <c r="J389" s="683"/>
      <c r="K389" s="683"/>
      <c r="L389" s="683"/>
      <c r="M389" s="683"/>
    </row>
    <row r="390" spans="4:13" s="656" customFormat="1" x14ac:dyDescent="0.2">
      <c r="D390" s="683"/>
      <c r="F390" s="683"/>
      <c r="G390" s="683"/>
      <c r="H390" s="683"/>
      <c r="I390" s="683"/>
      <c r="J390" s="683"/>
      <c r="K390" s="683"/>
      <c r="L390" s="683"/>
      <c r="M390" s="683"/>
    </row>
    <row r="391" spans="4:13" s="656" customFormat="1" x14ac:dyDescent="0.2">
      <c r="D391" s="683"/>
      <c r="F391" s="683"/>
      <c r="G391" s="683"/>
      <c r="H391" s="683"/>
      <c r="I391" s="683"/>
      <c r="J391" s="683"/>
      <c r="K391" s="683"/>
      <c r="L391" s="683"/>
      <c r="M391" s="683"/>
    </row>
    <row r="392" spans="4:13" s="656" customFormat="1" x14ac:dyDescent="0.2">
      <c r="D392" s="683"/>
      <c r="F392" s="683"/>
      <c r="G392" s="683"/>
      <c r="H392" s="683"/>
      <c r="I392" s="683"/>
      <c r="J392" s="683"/>
      <c r="K392" s="683"/>
      <c r="L392" s="683"/>
      <c r="M392" s="683"/>
    </row>
    <row r="393" spans="4:13" s="656" customFormat="1" x14ac:dyDescent="0.2">
      <c r="D393" s="683"/>
      <c r="F393" s="683"/>
      <c r="G393" s="683"/>
      <c r="H393" s="683"/>
      <c r="I393" s="683"/>
      <c r="J393" s="683"/>
      <c r="K393" s="683"/>
      <c r="L393" s="683"/>
      <c r="M393" s="683"/>
    </row>
    <row r="394" spans="4:13" s="656" customFormat="1" x14ac:dyDescent="0.2">
      <c r="D394" s="683"/>
      <c r="F394" s="683"/>
      <c r="G394" s="683"/>
      <c r="H394" s="683"/>
      <c r="I394" s="683"/>
      <c r="J394" s="683"/>
      <c r="K394" s="683"/>
      <c r="L394" s="683"/>
      <c r="M394" s="683"/>
    </row>
    <row r="395" spans="4:13" s="656" customFormat="1" x14ac:dyDescent="0.2">
      <c r="D395" s="683"/>
      <c r="F395" s="683"/>
      <c r="G395" s="683"/>
      <c r="H395" s="683"/>
      <c r="I395" s="683"/>
      <c r="J395" s="683"/>
      <c r="K395" s="683"/>
      <c r="L395" s="683"/>
      <c r="M395" s="683"/>
    </row>
    <row r="396" spans="4:13" s="656" customFormat="1" x14ac:dyDescent="0.2">
      <c r="D396" s="683"/>
      <c r="F396" s="683"/>
      <c r="G396" s="683"/>
      <c r="H396" s="683"/>
      <c r="I396" s="683"/>
      <c r="J396" s="683"/>
      <c r="K396" s="683"/>
      <c r="L396" s="683"/>
      <c r="M396" s="683"/>
    </row>
    <row r="397" spans="4:13" s="656" customFormat="1" x14ac:dyDescent="0.2">
      <c r="D397" s="683"/>
      <c r="F397" s="683"/>
      <c r="G397" s="683"/>
      <c r="H397" s="683"/>
      <c r="I397" s="683"/>
      <c r="J397" s="683"/>
      <c r="K397" s="683"/>
      <c r="L397" s="683"/>
      <c r="M397" s="683"/>
    </row>
    <row r="398" spans="4:13" s="656" customFormat="1" x14ac:dyDescent="0.2">
      <c r="D398" s="683"/>
      <c r="F398" s="683"/>
      <c r="G398" s="683"/>
      <c r="H398" s="683"/>
      <c r="I398" s="683"/>
      <c r="J398" s="683"/>
      <c r="K398" s="683"/>
      <c r="L398" s="683"/>
      <c r="M398" s="683"/>
    </row>
    <row r="399" spans="4:13" s="656" customFormat="1" x14ac:dyDescent="0.2">
      <c r="D399" s="683"/>
      <c r="F399" s="683"/>
      <c r="G399" s="683"/>
      <c r="H399" s="683"/>
      <c r="I399" s="683"/>
      <c r="J399" s="683"/>
      <c r="K399" s="683"/>
      <c r="L399" s="683"/>
      <c r="M399" s="683"/>
    </row>
    <row r="400" spans="4:13" s="656" customFormat="1" x14ac:dyDescent="0.2">
      <c r="D400" s="683"/>
      <c r="F400" s="683"/>
      <c r="G400" s="683"/>
      <c r="H400" s="683"/>
      <c r="I400" s="683"/>
      <c r="J400" s="683"/>
      <c r="K400" s="683"/>
      <c r="L400" s="683"/>
      <c r="M400" s="683"/>
    </row>
    <row r="401" spans="4:13" s="656" customFormat="1" x14ac:dyDescent="0.2">
      <c r="D401" s="683"/>
      <c r="F401" s="683"/>
      <c r="G401" s="683"/>
      <c r="H401" s="683"/>
      <c r="I401" s="683"/>
      <c r="J401" s="683"/>
      <c r="K401" s="683"/>
      <c r="L401" s="683"/>
      <c r="M401" s="683"/>
    </row>
    <row r="402" spans="4:13" s="656" customFormat="1" x14ac:dyDescent="0.2">
      <c r="D402" s="683"/>
      <c r="F402" s="683"/>
      <c r="G402" s="683"/>
      <c r="H402" s="683"/>
      <c r="I402" s="683"/>
      <c r="J402" s="683"/>
      <c r="K402" s="683"/>
      <c r="L402" s="683"/>
      <c r="M402" s="683"/>
    </row>
    <row r="403" spans="4:13" s="656" customFormat="1" x14ac:dyDescent="0.2">
      <c r="D403" s="683"/>
      <c r="F403" s="683"/>
      <c r="G403" s="683"/>
      <c r="H403" s="683"/>
      <c r="I403" s="683"/>
      <c r="J403" s="683"/>
      <c r="K403" s="683"/>
      <c r="L403" s="683"/>
      <c r="M403" s="683"/>
    </row>
    <row r="404" spans="4:13" s="656" customFormat="1" x14ac:dyDescent="0.2">
      <c r="D404" s="683"/>
      <c r="F404" s="683"/>
      <c r="G404" s="683"/>
      <c r="H404" s="683"/>
      <c r="I404" s="683"/>
      <c r="J404" s="683"/>
      <c r="K404" s="683"/>
      <c r="L404" s="683"/>
      <c r="M404" s="683"/>
    </row>
    <row r="405" spans="4:13" s="656" customFormat="1" x14ac:dyDescent="0.2">
      <c r="D405" s="683"/>
      <c r="F405" s="683"/>
      <c r="G405" s="683"/>
      <c r="H405" s="683"/>
      <c r="I405" s="683"/>
      <c r="J405" s="683"/>
      <c r="K405" s="683"/>
      <c r="L405" s="683"/>
      <c r="M405" s="683"/>
    </row>
    <row r="406" spans="4:13" s="656" customFormat="1" x14ac:dyDescent="0.2">
      <c r="D406" s="683"/>
      <c r="F406" s="683"/>
      <c r="G406" s="683"/>
      <c r="H406" s="683"/>
      <c r="I406" s="683"/>
      <c r="J406" s="683"/>
      <c r="K406" s="683"/>
      <c r="L406" s="683"/>
      <c r="M406" s="683"/>
    </row>
    <row r="407" spans="4:13" s="656" customFormat="1" x14ac:dyDescent="0.2">
      <c r="D407" s="683"/>
      <c r="F407" s="683"/>
      <c r="G407" s="683"/>
      <c r="H407" s="683"/>
      <c r="I407" s="683"/>
      <c r="J407" s="683"/>
      <c r="K407" s="683"/>
      <c r="L407" s="683"/>
      <c r="M407" s="683"/>
    </row>
    <row r="408" spans="4:13" s="656" customFormat="1" x14ac:dyDescent="0.2">
      <c r="D408" s="683"/>
      <c r="F408" s="683"/>
      <c r="G408" s="683"/>
      <c r="H408" s="683"/>
      <c r="I408" s="683"/>
      <c r="J408" s="683"/>
      <c r="K408" s="683"/>
      <c r="L408" s="683"/>
      <c r="M408" s="683"/>
    </row>
    <row r="409" spans="4:13" s="656" customFormat="1" x14ac:dyDescent="0.2">
      <c r="D409" s="683"/>
      <c r="F409" s="683"/>
      <c r="G409" s="683"/>
      <c r="H409" s="683"/>
      <c r="I409" s="683"/>
      <c r="J409" s="683"/>
      <c r="K409" s="683"/>
      <c r="L409" s="683"/>
      <c r="M409" s="683"/>
    </row>
    <row r="410" spans="4:13" s="656" customFormat="1" x14ac:dyDescent="0.2">
      <c r="D410" s="683"/>
      <c r="F410" s="683"/>
      <c r="G410" s="683"/>
      <c r="H410" s="683"/>
      <c r="I410" s="683"/>
      <c r="J410" s="683"/>
      <c r="K410" s="683"/>
      <c r="L410" s="683"/>
      <c r="M410" s="683"/>
    </row>
    <row r="411" spans="4:13" s="656" customFormat="1" x14ac:dyDescent="0.2">
      <c r="D411" s="683"/>
      <c r="F411" s="683"/>
      <c r="G411" s="683"/>
      <c r="H411" s="683"/>
      <c r="I411" s="683"/>
      <c r="J411" s="683"/>
      <c r="K411" s="683"/>
      <c r="L411" s="683"/>
      <c r="M411" s="683"/>
    </row>
    <row r="412" spans="4:13" s="656" customFormat="1" x14ac:dyDescent="0.2">
      <c r="D412" s="683"/>
      <c r="F412" s="683"/>
      <c r="G412" s="683"/>
      <c r="H412" s="683"/>
      <c r="I412" s="683"/>
      <c r="J412" s="683"/>
      <c r="K412" s="683"/>
      <c r="L412" s="683"/>
      <c r="M412" s="683"/>
    </row>
    <row r="413" spans="4:13" s="656" customFormat="1" x14ac:dyDescent="0.2">
      <c r="D413" s="683"/>
      <c r="F413" s="683"/>
      <c r="G413" s="683"/>
      <c r="H413" s="683"/>
      <c r="I413" s="683"/>
      <c r="J413" s="683"/>
      <c r="K413" s="683"/>
      <c r="L413" s="683"/>
      <c r="M413" s="683"/>
    </row>
    <row r="414" spans="4:13" s="656" customFormat="1" x14ac:dyDescent="0.2">
      <c r="D414" s="683"/>
      <c r="F414" s="683"/>
      <c r="G414" s="683"/>
      <c r="H414" s="683"/>
      <c r="I414" s="683"/>
      <c r="J414" s="683"/>
      <c r="K414" s="683"/>
      <c r="L414" s="683"/>
      <c r="M414" s="683"/>
    </row>
    <row r="415" spans="4:13" s="656" customFormat="1" x14ac:dyDescent="0.2">
      <c r="D415" s="683"/>
      <c r="F415" s="683"/>
      <c r="G415" s="683"/>
      <c r="H415" s="683"/>
      <c r="I415" s="683"/>
      <c r="J415" s="683"/>
      <c r="K415" s="683"/>
      <c r="L415" s="683"/>
      <c r="M415" s="683"/>
    </row>
    <row r="416" spans="4:13" s="656" customFormat="1" x14ac:dyDescent="0.2">
      <c r="D416" s="683"/>
      <c r="F416" s="683"/>
      <c r="G416" s="683"/>
      <c r="H416" s="683"/>
      <c r="I416" s="683"/>
      <c r="J416" s="683"/>
      <c r="K416" s="683"/>
      <c r="L416" s="683"/>
      <c r="M416" s="683"/>
    </row>
    <row r="417" spans="4:13" s="656" customFormat="1" x14ac:dyDescent="0.2">
      <c r="D417" s="683"/>
      <c r="F417" s="683"/>
      <c r="G417" s="683"/>
      <c r="H417" s="683"/>
      <c r="I417" s="683"/>
      <c r="J417" s="683"/>
      <c r="K417" s="683"/>
      <c r="L417" s="683"/>
      <c r="M417" s="683"/>
    </row>
    <row r="418" spans="4:13" s="656" customFormat="1" x14ac:dyDescent="0.2">
      <c r="D418" s="683"/>
      <c r="F418" s="683"/>
      <c r="G418" s="683"/>
      <c r="H418" s="683"/>
      <c r="I418" s="683"/>
      <c r="J418" s="683"/>
      <c r="K418" s="683"/>
      <c r="L418" s="683"/>
      <c r="M418" s="683"/>
    </row>
    <row r="419" spans="4:13" s="656" customFormat="1" x14ac:dyDescent="0.2">
      <c r="D419" s="683"/>
      <c r="F419" s="683"/>
      <c r="G419" s="683"/>
      <c r="H419" s="683"/>
      <c r="I419" s="683"/>
      <c r="J419" s="683"/>
      <c r="K419" s="683"/>
      <c r="L419" s="683"/>
      <c r="M419" s="683"/>
    </row>
    <row r="420" spans="4:13" s="656" customFormat="1" x14ac:dyDescent="0.2">
      <c r="D420" s="683"/>
      <c r="F420" s="683"/>
      <c r="G420" s="683"/>
      <c r="H420" s="683"/>
      <c r="I420" s="683"/>
      <c r="J420" s="683"/>
      <c r="K420" s="683"/>
      <c r="L420" s="683"/>
      <c r="M420" s="683"/>
    </row>
    <row r="421" spans="4:13" s="656" customFormat="1" x14ac:dyDescent="0.2">
      <c r="D421" s="683"/>
      <c r="F421" s="683"/>
      <c r="G421" s="683"/>
      <c r="H421" s="683"/>
      <c r="I421" s="683"/>
      <c r="J421" s="683"/>
      <c r="K421" s="683"/>
      <c r="L421" s="683"/>
      <c r="M421" s="683"/>
    </row>
    <row r="422" spans="4:13" s="656" customFormat="1" x14ac:dyDescent="0.2">
      <c r="D422" s="683"/>
      <c r="F422" s="683"/>
      <c r="G422" s="683"/>
      <c r="H422" s="683"/>
      <c r="I422" s="683"/>
      <c r="J422" s="683"/>
      <c r="K422" s="683"/>
      <c r="L422" s="683"/>
      <c r="M422" s="683"/>
    </row>
    <row r="423" spans="4:13" s="656" customFormat="1" x14ac:dyDescent="0.2">
      <c r="D423" s="683"/>
      <c r="F423" s="683"/>
      <c r="G423" s="683"/>
      <c r="H423" s="683"/>
      <c r="I423" s="683"/>
      <c r="J423" s="683"/>
      <c r="K423" s="683"/>
      <c r="L423" s="683"/>
      <c r="M423" s="683"/>
    </row>
    <row r="424" spans="4:13" s="656" customFormat="1" x14ac:dyDescent="0.2">
      <c r="D424" s="683"/>
      <c r="F424" s="683"/>
      <c r="G424" s="683"/>
      <c r="H424" s="683"/>
      <c r="I424" s="683"/>
      <c r="J424" s="683"/>
      <c r="K424" s="683"/>
      <c r="L424" s="683"/>
      <c r="M424" s="683"/>
    </row>
    <row r="425" spans="4:13" s="656" customFormat="1" x14ac:dyDescent="0.2">
      <c r="D425" s="683"/>
      <c r="F425" s="683"/>
      <c r="G425" s="683"/>
      <c r="H425" s="683"/>
      <c r="I425" s="683"/>
      <c r="J425" s="683"/>
      <c r="K425" s="683"/>
      <c r="L425" s="683"/>
      <c r="M425" s="683"/>
    </row>
    <row r="426" spans="4:13" s="656" customFormat="1" x14ac:dyDescent="0.2">
      <c r="D426" s="683"/>
      <c r="F426" s="683"/>
      <c r="G426" s="683"/>
      <c r="H426" s="683"/>
      <c r="I426" s="683"/>
      <c r="J426" s="683"/>
      <c r="K426" s="683"/>
      <c r="L426" s="683"/>
      <c r="M426" s="683"/>
    </row>
    <row r="427" spans="4:13" s="656" customFormat="1" x14ac:dyDescent="0.2">
      <c r="D427" s="683"/>
      <c r="F427" s="683"/>
      <c r="G427" s="683"/>
      <c r="H427" s="683"/>
      <c r="I427" s="683"/>
      <c r="J427" s="683"/>
      <c r="K427" s="683"/>
      <c r="L427" s="683"/>
      <c r="M427" s="683"/>
    </row>
    <row r="428" spans="4:13" s="656" customFormat="1" x14ac:dyDescent="0.2">
      <c r="D428" s="683"/>
      <c r="F428" s="683"/>
      <c r="G428" s="683"/>
      <c r="H428" s="683"/>
      <c r="I428" s="683"/>
      <c r="J428" s="683"/>
      <c r="K428" s="683"/>
      <c r="L428" s="683"/>
      <c r="M428" s="683"/>
    </row>
    <row r="429" spans="4:13" s="656" customFormat="1" x14ac:dyDescent="0.2">
      <c r="D429" s="683"/>
      <c r="F429" s="683"/>
      <c r="G429" s="683"/>
      <c r="H429" s="683"/>
      <c r="I429" s="683"/>
      <c r="J429" s="683"/>
      <c r="K429" s="683"/>
      <c r="L429" s="683"/>
      <c r="M429" s="683"/>
    </row>
    <row r="430" spans="4:13" s="656" customFormat="1" x14ac:dyDescent="0.2">
      <c r="D430" s="683"/>
      <c r="F430" s="683"/>
      <c r="G430" s="683"/>
      <c r="H430" s="683"/>
      <c r="I430" s="683"/>
      <c r="J430" s="683"/>
      <c r="K430" s="683"/>
      <c r="L430" s="683"/>
      <c r="M430" s="683"/>
    </row>
    <row r="431" spans="4:13" s="656" customFormat="1" x14ac:dyDescent="0.2">
      <c r="D431" s="683"/>
      <c r="F431" s="683"/>
      <c r="G431" s="683"/>
      <c r="H431" s="683"/>
      <c r="I431" s="683"/>
      <c r="J431" s="683"/>
      <c r="K431" s="683"/>
      <c r="L431" s="683"/>
      <c r="M431" s="683"/>
    </row>
    <row r="432" spans="4:13" s="656" customFormat="1" x14ac:dyDescent="0.2">
      <c r="D432" s="683"/>
      <c r="F432" s="683"/>
      <c r="G432" s="683"/>
      <c r="H432" s="683"/>
      <c r="I432" s="683"/>
      <c r="J432" s="683"/>
      <c r="K432" s="683"/>
      <c r="L432" s="683"/>
      <c r="M432" s="683"/>
    </row>
    <row r="433" spans="4:13" s="656" customFormat="1" x14ac:dyDescent="0.2">
      <c r="D433" s="683"/>
      <c r="F433" s="683"/>
      <c r="G433" s="683"/>
      <c r="H433" s="683"/>
      <c r="I433" s="683"/>
      <c r="J433" s="683"/>
      <c r="K433" s="683"/>
      <c r="L433" s="683"/>
      <c r="M433" s="683"/>
    </row>
    <row r="434" spans="4:13" s="656" customFormat="1" x14ac:dyDescent="0.2">
      <c r="D434" s="683"/>
      <c r="F434" s="683"/>
      <c r="G434" s="683"/>
      <c r="H434" s="683"/>
      <c r="I434" s="683"/>
      <c r="J434" s="683"/>
      <c r="K434" s="683"/>
      <c r="L434" s="683"/>
      <c r="M434" s="683"/>
    </row>
    <row r="435" spans="4:13" s="656" customFormat="1" x14ac:dyDescent="0.2">
      <c r="D435" s="683"/>
      <c r="F435" s="683"/>
      <c r="G435" s="683"/>
      <c r="H435" s="683"/>
      <c r="I435" s="683"/>
      <c r="J435" s="683"/>
      <c r="K435" s="683"/>
      <c r="L435" s="683"/>
      <c r="M435" s="683"/>
    </row>
    <row r="436" spans="4:13" s="656" customFormat="1" x14ac:dyDescent="0.2">
      <c r="D436" s="683"/>
      <c r="F436" s="683"/>
      <c r="G436" s="683"/>
      <c r="H436" s="683"/>
      <c r="I436" s="683"/>
      <c r="J436" s="683"/>
      <c r="K436" s="683"/>
      <c r="L436" s="683"/>
      <c r="M436" s="683"/>
    </row>
    <row r="437" spans="4:13" s="656" customFormat="1" x14ac:dyDescent="0.2">
      <c r="D437" s="683"/>
      <c r="F437" s="683"/>
      <c r="G437" s="683"/>
      <c r="H437" s="683"/>
      <c r="I437" s="683"/>
      <c r="J437" s="683"/>
      <c r="K437" s="683"/>
      <c r="L437" s="683"/>
      <c r="M437" s="683"/>
    </row>
    <row r="438" spans="4:13" s="656" customFormat="1" x14ac:dyDescent="0.2">
      <c r="D438" s="683"/>
      <c r="F438" s="683"/>
      <c r="G438" s="683"/>
      <c r="H438" s="683"/>
      <c r="I438" s="683"/>
      <c r="J438" s="683"/>
      <c r="K438" s="683"/>
      <c r="L438" s="683"/>
      <c r="M438" s="683"/>
    </row>
    <row r="439" spans="4:13" s="656" customFormat="1" x14ac:dyDescent="0.2">
      <c r="D439" s="683"/>
      <c r="F439" s="683"/>
      <c r="G439" s="683"/>
      <c r="H439" s="683"/>
      <c r="I439" s="683"/>
      <c r="J439" s="683"/>
      <c r="K439" s="683"/>
      <c r="L439" s="683"/>
      <c r="M439" s="683"/>
    </row>
    <row r="440" spans="4:13" s="656" customFormat="1" x14ac:dyDescent="0.2">
      <c r="D440" s="683"/>
      <c r="F440" s="683"/>
      <c r="G440" s="683"/>
      <c r="H440" s="683"/>
      <c r="I440" s="683"/>
      <c r="J440" s="683"/>
      <c r="K440" s="683"/>
      <c r="L440" s="683"/>
      <c r="M440" s="683"/>
    </row>
    <row r="441" spans="4:13" s="656" customFormat="1" x14ac:dyDescent="0.2">
      <c r="D441" s="683"/>
      <c r="F441" s="683"/>
      <c r="G441" s="683"/>
      <c r="H441" s="683"/>
      <c r="I441" s="683"/>
      <c r="J441" s="683"/>
      <c r="K441" s="683"/>
      <c r="L441" s="683"/>
      <c r="M441" s="683"/>
    </row>
    <row r="442" spans="4:13" s="656" customFormat="1" x14ac:dyDescent="0.2">
      <c r="D442" s="683"/>
      <c r="F442" s="683"/>
      <c r="G442" s="683"/>
      <c r="H442" s="683"/>
      <c r="I442" s="683"/>
      <c r="J442" s="683"/>
      <c r="K442" s="683"/>
      <c r="L442" s="683"/>
      <c r="M442" s="683"/>
    </row>
    <row r="443" spans="4:13" s="656" customFormat="1" x14ac:dyDescent="0.2">
      <c r="D443" s="683"/>
      <c r="F443" s="683"/>
      <c r="G443" s="683"/>
      <c r="H443" s="683"/>
      <c r="I443" s="683"/>
      <c r="J443" s="683"/>
      <c r="K443" s="683"/>
      <c r="L443" s="683"/>
      <c r="M443" s="683"/>
    </row>
    <row r="444" spans="4:13" s="656" customFormat="1" x14ac:dyDescent="0.2">
      <c r="D444" s="683"/>
      <c r="F444" s="683"/>
      <c r="G444" s="683"/>
      <c r="H444" s="683"/>
      <c r="I444" s="683"/>
      <c r="J444" s="683"/>
      <c r="K444" s="683"/>
      <c r="L444" s="683"/>
      <c r="M444" s="683"/>
    </row>
    <row r="445" spans="4:13" s="656" customFormat="1" x14ac:dyDescent="0.2">
      <c r="D445" s="683"/>
      <c r="F445" s="683"/>
      <c r="G445" s="683"/>
      <c r="H445" s="683"/>
      <c r="I445" s="683"/>
      <c r="J445" s="683"/>
      <c r="K445" s="683"/>
      <c r="L445" s="683"/>
      <c r="M445" s="683"/>
    </row>
    <row r="446" spans="4:13" s="656" customFormat="1" x14ac:dyDescent="0.2">
      <c r="D446" s="683"/>
      <c r="F446" s="683"/>
      <c r="G446" s="683"/>
      <c r="H446" s="683"/>
      <c r="I446" s="683"/>
      <c r="J446" s="683"/>
      <c r="K446" s="683"/>
      <c r="L446" s="683"/>
      <c r="M446" s="683"/>
    </row>
    <row r="447" spans="4:13" s="656" customFormat="1" x14ac:dyDescent="0.2">
      <c r="D447" s="683"/>
      <c r="F447" s="683"/>
      <c r="G447" s="683"/>
      <c r="H447" s="683"/>
      <c r="I447" s="683"/>
      <c r="J447" s="683"/>
      <c r="K447" s="683"/>
      <c r="L447" s="683"/>
      <c r="M447" s="683"/>
    </row>
    <row r="448" spans="4:13" s="656" customFormat="1" x14ac:dyDescent="0.2">
      <c r="D448" s="683"/>
      <c r="F448" s="683"/>
      <c r="G448" s="683"/>
      <c r="H448" s="683"/>
      <c r="I448" s="683"/>
      <c r="J448" s="683"/>
      <c r="K448" s="683"/>
      <c r="L448" s="683"/>
      <c r="M448" s="683"/>
    </row>
    <row r="449" spans="4:13" s="656" customFormat="1" x14ac:dyDescent="0.2">
      <c r="D449" s="683"/>
      <c r="F449" s="683"/>
      <c r="G449" s="683"/>
      <c r="H449" s="683"/>
      <c r="I449" s="683"/>
      <c r="J449" s="683"/>
      <c r="K449" s="683"/>
      <c r="L449" s="683"/>
      <c r="M449" s="683"/>
    </row>
    <row r="450" spans="4:13" s="656" customFormat="1" x14ac:dyDescent="0.2">
      <c r="D450" s="683"/>
      <c r="F450" s="683"/>
      <c r="G450" s="683"/>
      <c r="H450" s="683"/>
      <c r="I450" s="683"/>
      <c r="J450" s="683"/>
      <c r="K450" s="683"/>
      <c r="L450" s="683"/>
      <c r="M450" s="683"/>
    </row>
    <row r="451" spans="4:13" s="656" customFormat="1" x14ac:dyDescent="0.2">
      <c r="D451" s="683"/>
      <c r="F451" s="683"/>
      <c r="G451" s="683"/>
      <c r="H451" s="683"/>
      <c r="I451" s="683"/>
      <c r="J451" s="683"/>
      <c r="K451" s="683"/>
      <c r="L451" s="683"/>
      <c r="M451" s="683"/>
    </row>
    <row r="452" spans="4:13" s="656" customFormat="1" x14ac:dyDescent="0.2">
      <c r="D452" s="683"/>
      <c r="F452" s="683"/>
      <c r="G452" s="683"/>
      <c r="H452" s="683"/>
      <c r="I452" s="683"/>
      <c r="J452" s="683"/>
      <c r="K452" s="683"/>
      <c r="L452" s="683"/>
      <c r="M452" s="683"/>
    </row>
    <row r="453" spans="4:13" s="656" customFormat="1" x14ac:dyDescent="0.2">
      <c r="D453" s="683"/>
      <c r="F453" s="683"/>
      <c r="G453" s="683"/>
      <c r="H453" s="683"/>
      <c r="I453" s="683"/>
      <c r="J453" s="683"/>
      <c r="K453" s="683"/>
      <c r="L453" s="683"/>
      <c r="M453" s="683"/>
    </row>
    <row r="454" spans="4:13" s="656" customFormat="1" x14ac:dyDescent="0.2">
      <c r="D454" s="683"/>
      <c r="F454" s="683"/>
      <c r="G454" s="683"/>
      <c r="H454" s="683"/>
      <c r="I454" s="683"/>
      <c r="J454" s="683"/>
      <c r="K454" s="683"/>
      <c r="L454" s="683"/>
      <c r="M454" s="683"/>
    </row>
    <row r="455" spans="4:13" s="656" customFormat="1" x14ac:dyDescent="0.2">
      <c r="D455" s="683"/>
      <c r="F455" s="683"/>
      <c r="G455" s="683"/>
      <c r="H455" s="683"/>
      <c r="I455" s="683"/>
      <c r="J455" s="683"/>
      <c r="K455" s="683"/>
      <c r="L455" s="683"/>
      <c r="M455" s="683"/>
    </row>
    <row r="456" spans="4:13" s="656" customFormat="1" x14ac:dyDescent="0.2">
      <c r="D456" s="683"/>
      <c r="F456" s="683"/>
      <c r="G456" s="683"/>
      <c r="H456" s="683"/>
      <c r="I456" s="683"/>
      <c r="J456" s="683"/>
      <c r="K456" s="683"/>
      <c r="L456" s="683"/>
      <c r="M456" s="683"/>
    </row>
    <row r="457" spans="4:13" s="656" customFormat="1" x14ac:dyDescent="0.2">
      <c r="D457" s="683"/>
      <c r="F457" s="683"/>
      <c r="G457" s="683"/>
      <c r="H457" s="683"/>
      <c r="I457" s="683"/>
      <c r="J457" s="683"/>
      <c r="K457" s="683"/>
      <c r="L457" s="683"/>
      <c r="M457" s="683"/>
    </row>
    <row r="458" spans="4:13" s="656" customFormat="1" x14ac:dyDescent="0.2">
      <c r="D458" s="683"/>
      <c r="F458" s="683"/>
      <c r="G458" s="683"/>
      <c r="H458" s="683"/>
      <c r="I458" s="683"/>
      <c r="J458" s="683"/>
      <c r="K458" s="683"/>
      <c r="L458" s="683"/>
      <c r="M458" s="683"/>
    </row>
    <row r="459" spans="4:13" s="656" customFormat="1" x14ac:dyDescent="0.2">
      <c r="D459" s="683"/>
      <c r="F459" s="683"/>
      <c r="G459" s="683"/>
      <c r="H459" s="683"/>
      <c r="I459" s="683"/>
      <c r="J459" s="683"/>
      <c r="K459" s="683"/>
      <c r="L459" s="683"/>
      <c r="M459" s="683"/>
    </row>
    <row r="460" spans="4:13" s="656" customFormat="1" x14ac:dyDescent="0.2">
      <c r="D460" s="683"/>
      <c r="F460" s="683"/>
      <c r="G460" s="683"/>
      <c r="H460" s="683"/>
      <c r="I460" s="683"/>
      <c r="J460" s="683"/>
      <c r="K460" s="683"/>
      <c r="L460" s="683"/>
      <c r="M460" s="683"/>
    </row>
    <row r="461" spans="4:13" s="656" customFormat="1" x14ac:dyDescent="0.2">
      <c r="D461" s="683"/>
      <c r="F461" s="683"/>
      <c r="G461" s="683"/>
      <c r="H461" s="683"/>
      <c r="I461" s="683"/>
      <c r="J461" s="683"/>
      <c r="K461" s="683"/>
      <c r="L461" s="683"/>
      <c r="M461" s="683"/>
    </row>
    <row r="462" spans="4:13" s="656" customFormat="1" x14ac:dyDescent="0.2">
      <c r="D462" s="683"/>
      <c r="F462" s="683"/>
      <c r="G462" s="683"/>
      <c r="H462" s="683"/>
      <c r="I462" s="683"/>
      <c r="J462" s="683"/>
      <c r="K462" s="683"/>
      <c r="L462" s="683"/>
      <c r="M462" s="683"/>
    </row>
    <row r="463" spans="4:13" s="656" customFormat="1" x14ac:dyDescent="0.2">
      <c r="D463" s="683"/>
      <c r="F463" s="683"/>
      <c r="G463" s="683"/>
      <c r="H463" s="683"/>
      <c r="I463" s="683"/>
      <c r="J463" s="683"/>
      <c r="K463" s="683"/>
      <c r="L463" s="683"/>
      <c r="M463" s="683"/>
    </row>
    <row r="464" spans="4:13" s="656" customFormat="1" x14ac:dyDescent="0.2">
      <c r="D464" s="683"/>
      <c r="F464" s="683"/>
      <c r="G464" s="683"/>
      <c r="H464" s="683"/>
      <c r="I464" s="683"/>
      <c r="J464" s="683"/>
      <c r="K464" s="683"/>
      <c r="L464" s="683"/>
      <c r="M464" s="683"/>
    </row>
    <row r="465" spans="4:13" s="656" customFormat="1" x14ac:dyDescent="0.2">
      <c r="D465" s="683"/>
      <c r="F465" s="683"/>
      <c r="G465" s="683"/>
      <c r="H465" s="683"/>
      <c r="I465" s="683"/>
      <c r="J465" s="683"/>
      <c r="K465" s="683"/>
      <c r="L465" s="683"/>
      <c r="M465" s="683"/>
    </row>
    <row r="466" spans="4:13" s="656" customFormat="1" x14ac:dyDescent="0.2">
      <c r="D466" s="683"/>
      <c r="F466" s="683"/>
      <c r="G466" s="683"/>
      <c r="H466" s="683"/>
      <c r="I466" s="683"/>
      <c r="J466" s="683"/>
      <c r="K466" s="683"/>
      <c r="L466" s="683"/>
      <c r="M466" s="683"/>
    </row>
    <row r="467" spans="4:13" s="656" customFormat="1" x14ac:dyDescent="0.2">
      <c r="D467" s="683"/>
      <c r="F467" s="683"/>
      <c r="G467" s="683"/>
      <c r="H467" s="683"/>
      <c r="I467" s="683"/>
      <c r="J467" s="683"/>
      <c r="K467" s="683"/>
      <c r="L467" s="683"/>
      <c r="M467" s="683"/>
    </row>
    <row r="468" spans="4:13" s="656" customFormat="1" x14ac:dyDescent="0.2">
      <c r="D468" s="683"/>
      <c r="F468" s="683"/>
      <c r="G468" s="683"/>
      <c r="H468" s="683"/>
      <c r="I468" s="683"/>
      <c r="J468" s="683"/>
      <c r="K468" s="683"/>
      <c r="L468" s="683"/>
      <c r="M468" s="683"/>
    </row>
    <row r="469" spans="4:13" s="656" customFormat="1" x14ac:dyDescent="0.2">
      <c r="D469" s="683"/>
      <c r="F469" s="683"/>
      <c r="G469" s="683"/>
      <c r="H469" s="683"/>
      <c r="I469" s="683"/>
      <c r="J469" s="683"/>
      <c r="K469" s="683"/>
      <c r="L469" s="683"/>
      <c r="M469" s="683"/>
    </row>
    <row r="470" spans="4:13" s="656" customFormat="1" x14ac:dyDescent="0.2">
      <c r="D470" s="683"/>
      <c r="F470" s="683"/>
      <c r="G470" s="683"/>
      <c r="H470" s="683"/>
      <c r="I470" s="683"/>
      <c r="J470" s="683"/>
      <c r="K470" s="683"/>
      <c r="L470" s="683"/>
      <c r="M470" s="683"/>
    </row>
    <row r="471" spans="4:13" s="656" customFormat="1" x14ac:dyDescent="0.2">
      <c r="D471" s="683"/>
      <c r="F471" s="683"/>
      <c r="G471" s="683"/>
      <c r="H471" s="683"/>
      <c r="I471" s="683"/>
      <c r="J471" s="683"/>
      <c r="K471" s="683"/>
      <c r="L471" s="683"/>
      <c r="M471" s="683"/>
    </row>
    <row r="472" spans="4:13" s="656" customFormat="1" x14ac:dyDescent="0.2">
      <c r="D472" s="683"/>
      <c r="F472" s="683"/>
      <c r="G472" s="683"/>
      <c r="H472" s="683"/>
      <c r="I472" s="683"/>
      <c r="J472" s="683"/>
      <c r="K472" s="683"/>
      <c r="L472" s="683"/>
      <c r="M472" s="683"/>
    </row>
    <row r="473" spans="4:13" s="656" customFormat="1" x14ac:dyDescent="0.2">
      <c r="D473" s="683"/>
      <c r="F473" s="683"/>
      <c r="G473" s="683"/>
      <c r="H473" s="683"/>
      <c r="I473" s="683"/>
      <c r="J473" s="683"/>
      <c r="K473" s="683"/>
      <c r="L473" s="683"/>
      <c r="M473" s="683"/>
    </row>
    <row r="474" spans="4:13" s="656" customFormat="1" x14ac:dyDescent="0.2">
      <c r="D474" s="683"/>
      <c r="F474" s="683"/>
      <c r="G474" s="683"/>
      <c r="H474" s="683"/>
      <c r="I474" s="683"/>
      <c r="J474" s="683"/>
      <c r="K474" s="683"/>
      <c r="L474" s="683"/>
      <c r="M474" s="683"/>
    </row>
    <row r="475" spans="4:13" s="656" customFormat="1" x14ac:dyDescent="0.2">
      <c r="D475" s="683"/>
      <c r="F475" s="683"/>
      <c r="G475" s="683"/>
      <c r="H475" s="683"/>
      <c r="I475" s="683"/>
      <c r="J475" s="683"/>
      <c r="K475" s="683"/>
      <c r="L475" s="683"/>
      <c r="M475" s="683"/>
    </row>
    <row r="476" spans="4:13" s="656" customFormat="1" x14ac:dyDescent="0.2">
      <c r="D476" s="683"/>
      <c r="F476" s="683"/>
      <c r="G476" s="683"/>
      <c r="H476" s="683"/>
      <c r="I476" s="683"/>
      <c r="J476" s="683"/>
      <c r="K476" s="683"/>
      <c r="L476" s="683"/>
      <c r="M476" s="683"/>
    </row>
    <row r="477" spans="4:13" s="656" customFormat="1" x14ac:dyDescent="0.2">
      <c r="D477" s="683"/>
      <c r="F477" s="683"/>
      <c r="G477" s="683"/>
      <c r="H477" s="683"/>
      <c r="I477" s="683"/>
      <c r="J477" s="683"/>
      <c r="K477" s="683"/>
      <c r="L477" s="683"/>
      <c r="M477" s="683"/>
    </row>
    <row r="478" spans="4:13" s="656" customFormat="1" x14ac:dyDescent="0.2">
      <c r="D478" s="683"/>
      <c r="F478" s="683"/>
      <c r="G478" s="683"/>
      <c r="H478" s="683"/>
      <c r="I478" s="683"/>
      <c r="J478" s="683"/>
      <c r="K478" s="683"/>
      <c r="L478" s="683"/>
      <c r="M478" s="683"/>
    </row>
    <row r="479" spans="4:13" s="656" customFormat="1" x14ac:dyDescent="0.2">
      <c r="D479" s="683"/>
      <c r="F479" s="683"/>
      <c r="G479" s="683"/>
      <c r="H479" s="683"/>
      <c r="I479" s="683"/>
      <c r="J479" s="683"/>
      <c r="K479" s="683"/>
      <c r="L479" s="683"/>
      <c r="M479" s="683"/>
    </row>
    <row r="480" spans="4:13" s="656" customFormat="1" x14ac:dyDescent="0.2">
      <c r="D480" s="683"/>
      <c r="F480" s="683"/>
      <c r="G480" s="683"/>
      <c r="H480" s="683"/>
      <c r="I480" s="683"/>
      <c r="J480" s="683"/>
      <c r="K480" s="683"/>
      <c r="L480" s="683"/>
      <c r="M480" s="683"/>
    </row>
    <row r="481" spans="1:13" x14ac:dyDescent="0.2">
      <c r="A481" s="656"/>
      <c r="B481" s="656"/>
      <c r="C481" s="656"/>
      <c r="E481" s="656"/>
      <c r="G481" s="683"/>
      <c r="H481" s="683"/>
      <c r="I481" s="683"/>
      <c r="J481" s="683"/>
      <c r="K481" s="683"/>
      <c r="L481" s="683"/>
      <c r="M481" s="683"/>
    </row>
    <row r="482" spans="1:13" x14ac:dyDescent="0.2">
      <c r="A482" s="656"/>
      <c r="B482" s="656"/>
      <c r="C482" s="656"/>
      <c r="E482" s="656"/>
      <c r="G482" s="683"/>
      <c r="H482" s="683"/>
      <c r="I482" s="683"/>
      <c r="J482" s="683"/>
      <c r="K482" s="683"/>
      <c r="L482" s="683"/>
      <c r="M482" s="683"/>
    </row>
    <row r="483" spans="1:13" x14ac:dyDescent="0.2">
      <c r="A483" s="656"/>
      <c r="B483" s="656"/>
      <c r="C483" s="656"/>
      <c r="E483" s="656"/>
      <c r="G483" s="683"/>
      <c r="H483" s="683"/>
      <c r="I483" s="683"/>
      <c r="J483" s="683"/>
      <c r="K483" s="683"/>
      <c r="L483" s="683"/>
      <c r="M483" s="683"/>
    </row>
    <row r="484" spans="1:13" x14ac:dyDescent="0.2">
      <c r="A484" s="656"/>
      <c r="B484" s="656"/>
      <c r="C484" s="656"/>
      <c r="E484" s="656"/>
      <c r="G484" s="683"/>
      <c r="H484" s="683"/>
      <c r="I484" s="683"/>
      <c r="J484" s="683"/>
      <c r="K484" s="683"/>
      <c r="L484" s="683"/>
      <c r="M484" s="683"/>
    </row>
    <row r="485" spans="1:13" x14ac:dyDescent="0.2">
      <c r="A485" s="656"/>
      <c r="B485" s="656"/>
      <c r="C485" s="656"/>
      <c r="E485" s="656"/>
      <c r="G485" s="683"/>
      <c r="H485" s="683"/>
      <c r="I485" s="683"/>
      <c r="J485" s="683"/>
      <c r="K485" s="683"/>
      <c r="L485" s="683"/>
      <c r="M485" s="683"/>
    </row>
    <row r="486" spans="1:13" x14ac:dyDescent="0.2">
      <c r="A486" s="656"/>
      <c r="B486" s="656"/>
      <c r="C486" s="656"/>
      <c r="E486" s="656"/>
      <c r="G486" s="683"/>
      <c r="H486" s="683"/>
      <c r="I486" s="683"/>
      <c r="J486" s="683"/>
      <c r="K486" s="683"/>
      <c r="L486" s="683"/>
      <c r="M486" s="683"/>
    </row>
    <row r="487" spans="1:13" x14ac:dyDescent="0.2">
      <c r="A487" s="656"/>
      <c r="B487" s="656"/>
      <c r="C487" s="656"/>
      <c r="E487" s="656"/>
      <c r="G487" s="683"/>
      <c r="H487" s="683"/>
      <c r="I487" s="683"/>
      <c r="J487" s="683"/>
      <c r="K487" s="683"/>
      <c r="L487" s="683"/>
      <c r="M487" s="683"/>
    </row>
    <row r="488" spans="1:13" x14ac:dyDescent="0.2">
      <c r="A488" s="656"/>
      <c r="B488" s="656"/>
      <c r="C488" s="656"/>
      <c r="E488" s="656"/>
      <c r="G488" s="683"/>
      <c r="H488" s="683"/>
      <c r="I488" s="683"/>
      <c r="J488" s="683"/>
      <c r="K488" s="683"/>
      <c r="L488" s="683"/>
      <c r="M488" s="683"/>
    </row>
  </sheetData>
  <sheetProtection formatColumns="0" formatRows="0"/>
  <mergeCells count="51">
    <mergeCell ref="M16:M20"/>
    <mergeCell ref="M13:M15"/>
    <mergeCell ref="M10:M12"/>
    <mergeCell ref="M5:M9"/>
    <mergeCell ref="M53:M58"/>
    <mergeCell ref="M40:M48"/>
    <mergeCell ref="M25:M28"/>
    <mergeCell ref="M22:M24"/>
    <mergeCell ref="M129:M135"/>
    <mergeCell ref="M121:M123"/>
    <mergeCell ref="M37:M39"/>
    <mergeCell ref="M109:M112"/>
    <mergeCell ref="M104:M108"/>
    <mergeCell ref="M97:M101"/>
    <mergeCell ref="M91:M96"/>
    <mergeCell ref="M83:M89"/>
    <mergeCell ref="M69:M74"/>
    <mergeCell ref="M64:M66"/>
    <mergeCell ref="M61:M63"/>
    <mergeCell ref="A196:J196"/>
    <mergeCell ref="J10:J12"/>
    <mergeCell ref="J13:J15"/>
    <mergeCell ref="J16:J20"/>
    <mergeCell ref="J22:J24"/>
    <mergeCell ref="J25:J28"/>
    <mergeCell ref="J40:J48"/>
    <mergeCell ref="J53:J58"/>
    <mergeCell ref="J61:J63"/>
    <mergeCell ref="J64:J66"/>
    <mergeCell ref="J69:J74"/>
    <mergeCell ref="J83:J89"/>
    <mergeCell ref="J91:J96"/>
    <mergeCell ref="J104:J108"/>
    <mergeCell ref="J109:J112"/>
    <mergeCell ref="J97:J101"/>
    <mergeCell ref="J151:J153"/>
    <mergeCell ref="M183:M190"/>
    <mergeCell ref="J121:J123"/>
    <mergeCell ref="J129:J135"/>
    <mergeCell ref="M173:M180"/>
    <mergeCell ref="M167:M171"/>
    <mergeCell ref="M158:M162"/>
    <mergeCell ref="M154:M157"/>
    <mergeCell ref="J154:J157"/>
    <mergeCell ref="J158:J162"/>
    <mergeCell ref="J167:J171"/>
    <mergeCell ref="J173:J180"/>
    <mergeCell ref="J125:J126"/>
    <mergeCell ref="M125:M126"/>
    <mergeCell ref="M151:M153"/>
    <mergeCell ref="M140:M147"/>
  </mergeCells>
  <pageMargins left="0.70866141732283472" right="0.70866141732283472" top="0.59055118110236227" bottom="0.74803149606299213" header="0.31496062992125984" footer="0.31496062992125984"/>
  <pageSetup paperSize="9" scale="53" orientation="portrait" r:id="rId1"/>
  <headerFooter>
    <oddHeader xml:space="preserve">&amp;C&amp;"Times New Roman,Bold"&amp;14
Budžeta&amp;"Times New Roman,Regular" &amp;"Times New Roman,Bold"tāme&amp;R&amp;"Times New Roman,Regular"&amp;14 1.pielikums
</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2">
    <tabColor rgb="FF00B0F0"/>
    <pageSetUpPr fitToPage="1"/>
  </sheetPr>
  <dimension ref="A1:M34"/>
  <sheetViews>
    <sheetView topLeftCell="A19" zoomScale="85" zoomScaleNormal="85" zoomScalePageLayoutView="70" workbookViewId="0">
      <selection activeCell="H8" sqref="H8"/>
    </sheetView>
  </sheetViews>
  <sheetFormatPr defaultRowHeight="18" x14ac:dyDescent="0.2"/>
  <cols>
    <col min="1" max="1" width="9.28515625" style="10" bestFit="1" customWidth="1"/>
    <col min="2" max="2" width="66.85546875" style="10" customWidth="1"/>
    <col min="3" max="9" width="16.5703125" style="10" customWidth="1"/>
    <col min="10" max="10" width="38.42578125" style="10" customWidth="1"/>
    <col min="11" max="12" width="16.5703125" style="10" customWidth="1"/>
    <col min="13" max="13" width="32.7109375" style="10" customWidth="1"/>
    <col min="14" max="16384" width="9.140625" style="10"/>
  </cols>
  <sheetData>
    <row r="1" spans="1:13" ht="131.25" x14ac:dyDescent="0.2">
      <c r="A1" s="470" t="s">
        <v>465</v>
      </c>
      <c r="B1" s="320" t="s">
        <v>444</v>
      </c>
      <c r="C1" s="193" t="s">
        <v>654</v>
      </c>
      <c r="D1" s="193" t="s">
        <v>655</v>
      </c>
      <c r="E1" s="193" t="s">
        <v>795</v>
      </c>
      <c r="F1" s="193" t="s">
        <v>796</v>
      </c>
      <c r="G1" s="547" t="s">
        <v>798</v>
      </c>
      <c r="H1" s="194" t="s">
        <v>660</v>
      </c>
      <c r="I1" s="194" t="s">
        <v>659</v>
      </c>
      <c r="J1" s="321" t="s">
        <v>645</v>
      </c>
      <c r="K1" s="194" t="s">
        <v>661</v>
      </c>
      <c r="L1" s="194" t="s">
        <v>658</v>
      </c>
      <c r="M1" s="321" t="s">
        <v>645</v>
      </c>
    </row>
    <row r="2" spans="1:13" ht="18.75" x14ac:dyDescent="0.2">
      <c r="A2" s="320">
        <v>1</v>
      </c>
      <c r="B2" s="320">
        <v>2</v>
      </c>
      <c r="C2" s="193">
        <v>3</v>
      </c>
      <c r="D2" s="193">
        <v>4</v>
      </c>
      <c r="E2" s="193">
        <v>5</v>
      </c>
      <c r="F2" s="193">
        <v>6</v>
      </c>
      <c r="G2" s="547">
        <v>7</v>
      </c>
      <c r="H2" s="194">
        <v>8</v>
      </c>
      <c r="I2" s="194">
        <v>9</v>
      </c>
      <c r="J2" s="321">
        <v>10</v>
      </c>
      <c r="K2" s="194">
        <v>11</v>
      </c>
      <c r="L2" s="194">
        <v>12</v>
      </c>
      <c r="M2" s="321">
        <v>13</v>
      </c>
    </row>
    <row r="3" spans="1:13" ht="18.75" x14ac:dyDescent="0.2">
      <c r="A3" s="320">
        <v>1</v>
      </c>
      <c r="B3" s="322" t="s">
        <v>445</v>
      </c>
      <c r="C3" s="239">
        <v>18683429</v>
      </c>
      <c r="D3" s="239">
        <v>19509595</v>
      </c>
      <c r="E3" s="239">
        <v>18683429</v>
      </c>
      <c r="F3" s="239">
        <v>19509595</v>
      </c>
      <c r="G3" s="239">
        <v>19045920</v>
      </c>
      <c r="H3" s="323">
        <f>G3-F3</f>
        <v>-463675</v>
      </c>
      <c r="I3" s="219">
        <f>IFERROR(H3/ABS(F3), "-")</f>
        <v>-2.3766510786102941E-2</v>
      </c>
      <c r="J3" s="324"/>
      <c r="K3" s="323">
        <f>G3-E3</f>
        <v>362491</v>
      </c>
      <c r="L3" s="219">
        <f>IFERROR(K3/ABS(E3), "-")</f>
        <v>1.9401738299752148E-2</v>
      </c>
      <c r="M3" s="491"/>
    </row>
    <row r="4" spans="1:13" ht="18.75" x14ac:dyDescent="0.2">
      <c r="A4" s="320">
        <v>2</v>
      </c>
      <c r="B4" s="322" t="s">
        <v>446</v>
      </c>
      <c r="C4" s="239">
        <v>-16923754</v>
      </c>
      <c r="D4" s="239">
        <v>-17588500</v>
      </c>
      <c r="E4" s="239">
        <v>-16923754</v>
      </c>
      <c r="F4" s="239">
        <v>-17588500</v>
      </c>
      <c r="G4" s="239">
        <v>-17401471</v>
      </c>
      <c r="H4" s="323">
        <f t="shared" ref="H4:H22" si="0">G4-F4</f>
        <v>187029</v>
      </c>
      <c r="I4" s="219">
        <f t="shared" ref="I4:I22" si="1">IFERROR(H4/ABS(F4), "-")</f>
        <v>1.0633595815447594E-2</v>
      </c>
      <c r="J4" s="325"/>
      <c r="K4" s="323">
        <f t="shared" ref="K4:K22" si="2">G4-E4</f>
        <v>-477717</v>
      </c>
      <c r="L4" s="219">
        <f t="shared" ref="L4:L22" si="3">IFERROR(K4/ABS(E4), "-")</f>
        <v>-2.8227602457468953E-2</v>
      </c>
      <c r="M4" s="324"/>
    </row>
    <row r="5" spans="1:13" ht="19.5" x14ac:dyDescent="0.2">
      <c r="A5" s="326">
        <v>3</v>
      </c>
      <c r="B5" s="327" t="s">
        <v>447</v>
      </c>
      <c r="C5" s="240">
        <f>C3+C4</f>
        <v>1759675</v>
      </c>
      <c r="D5" s="240">
        <f>D3+D4</f>
        <v>1921095</v>
      </c>
      <c r="E5" s="240">
        <f>E3+E4</f>
        <v>1759675</v>
      </c>
      <c r="F5" s="240">
        <f>F3+F4</f>
        <v>1921095</v>
      </c>
      <c r="G5" s="240">
        <f>G3+G4</f>
        <v>1644449</v>
      </c>
      <c r="H5" s="328">
        <f t="shared" si="0"/>
        <v>-276646</v>
      </c>
      <c r="I5" s="329">
        <f t="shared" si="1"/>
        <v>-0.14400433086338782</v>
      </c>
      <c r="J5" s="330"/>
      <c r="K5" s="328">
        <f t="shared" si="2"/>
        <v>-115226</v>
      </c>
      <c r="L5" s="329">
        <f t="shared" si="3"/>
        <v>-6.5481409919445357E-2</v>
      </c>
      <c r="M5" s="330"/>
    </row>
    <row r="6" spans="1:13" ht="18.75" x14ac:dyDescent="0.2">
      <c r="A6" s="320">
        <v>4</v>
      </c>
      <c r="B6" s="322" t="s">
        <v>448</v>
      </c>
      <c r="C6" s="239"/>
      <c r="D6" s="239"/>
      <c r="E6" s="239"/>
      <c r="F6" s="239"/>
      <c r="G6" s="239"/>
      <c r="H6" s="323">
        <f t="shared" si="0"/>
        <v>0</v>
      </c>
      <c r="I6" s="219" t="str">
        <f t="shared" si="1"/>
        <v>-</v>
      </c>
      <c r="J6" s="324"/>
      <c r="K6" s="323">
        <f t="shared" si="2"/>
        <v>0</v>
      </c>
      <c r="L6" s="219" t="str">
        <f t="shared" si="3"/>
        <v>-</v>
      </c>
      <c r="M6" s="324"/>
    </row>
    <row r="7" spans="1:13" ht="281.25" x14ac:dyDescent="0.2">
      <c r="A7" s="320">
        <v>5</v>
      </c>
      <c r="B7" s="322" t="s">
        <v>449</v>
      </c>
      <c r="C7" s="239">
        <v>-954896</v>
      </c>
      <c r="D7" s="239">
        <v>-1007492</v>
      </c>
      <c r="E7" s="239">
        <v>-954896</v>
      </c>
      <c r="F7" s="239">
        <v>-1007492</v>
      </c>
      <c r="G7" s="239">
        <v>-1076040</v>
      </c>
      <c r="H7" s="323">
        <f t="shared" si="0"/>
        <v>-68548</v>
      </c>
      <c r="I7" s="219">
        <f t="shared" si="1"/>
        <v>-6.8038257375740943E-2</v>
      </c>
      <c r="J7" s="553" t="s">
        <v>895</v>
      </c>
      <c r="K7" s="323">
        <f>G7-E7</f>
        <v>-121144</v>
      </c>
      <c r="L7" s="219">
        <f t="shared" si="3"/>
        <v>-0.12686617181347498</v>
      </c>
      <c r="M7" s="553" t="s">
        <v>896</v>
      </c>
    </row>
    <row r="8" spans="1:13" ht="300" x14ac:dyDescent="0.2">
      <c r="A8" s="320">
        <v>6</v>
      </c>
      <c r="B8" s="322" t="s">
        <v>450</v>
      </c>
      <c r="C8" s="239">
        <v>530596</v>
      </c>
      <c r="D8" s="239">
        <v>272417</v>
      </c>
      <c r="E8" s="239">
        <v>530596</v>
      </c>
      <c r="F8" s="239">
        <v>272417</v>
      </c>
      <c r="G8" s="239">
        <v>474551</v>
      </c>
      <c r="H8" s="323">
        <f t="shared" si="0"/>
        <v>202134</v>
      </c>
      <c r="I8" s="219">
        <f t="shared" si="1"/>
        <v>0.74200215111391732</v>
      </c>
      <c r="J8" s="553" t="s">
        <v>897</v>
      </c>
      <c r="K8" s="323">
        <f t="shared" si="2"/>
        <v>-56045</v>
      </c>
      <c r="L8" s="219">
        <f t="shared" si="3"/>
        <v>-0.10562650302678497</v>
      </c>
      <c r="M8" s="553" t="s">
        <v>898</v>
      </c>
    </row>
    <row r="9" spans="1:13" ht="281.25" x14ac:dyDescent="0.2">
      <c r="A9" s="320">
        <v>7</v>
      </c>
      <c r="B9" s="322" t="s">
        <v>451</v>
      </c>
      <c r="C9" s="239">
        <v>-748713</v>
      </c>
      <c r="D9" s="239">
        <v>-741618</v>
      </c>
      <c r="E9" s="239">
        <v>-748713</v>
      </c>
      <c r="F9" s="239">
        <v>-741618</v>
      </c>
      <c r="G9" s="239">
        <v>-497784</v>
      </c>
      <c r="H9" s="323">
        <f t="shared" si="0"/>
        <v>243834</v>
      </c>
      <c r="I9" s="219">
        <f t="shared" si="1"/>
        <v>0.32878651812658266</v>
      </c>
      <c r="J9" s="553" t="s">
        <v>899</v>
      </c>
      <c r="K9" s="323">
        <f t="shared" si="2"/>
        <v>250929</v>
      </c>
      <c r="L9" s="219">
        <f t="shared" si="3"/>
        <v>0.33514711244495554</v>
      </c>
      <c r="M9" s="553" t="s">
        <v>900</v>
      </c>
    </row>
    <row r="10" spans="1:13" ht="37.5" x14ac:dyDescent="0.2">
      <c r="A10" s="320">
        <v>8</v>
      </c>
      <c r="B10" s="322" t="s">
        <v>452</v>
      </c>
      <c r="C10" s="239"/>
      <c r="D10" s="239"/>
      <c r="E10" s="239"/>
      <c r="F10" s="239"/>
      <c r="G10" s="239"/>
      <c r="H10" s="323">
        <f>G10-F10</f>
        <v>0</v>
      </c>
      <c r="I10" s="219" t="str">
        <f>IFERROR(H10/ABS(F10), "-")</f>
        <v>-</v>
      </c>
      <c r="J10" s="324"/>
      <c r="K10" s="323">
        <f t="shared" si="2"/>
        <v>0</v>
      </c>
      <c r="L10" s="219" t="str">
        <f t="shared" si="3"/>
        <v>-</v>
      </c>
      <c r="M10" s="324"/>
    </row>
    <row r="11" spans="1:13" ht="37.5" x14ac:dyDescent="0.2">
      <c r="A11" s="320">
        <v>9</v>
      </c>
      <c r="B11" s="322" t="s">
        <v>453</v>
      </c>
      <c r="C11" s="239"/>
      <c r="D11" s="239"/>
      <c r="E11" s="239"/>
      <c r="F11" s="239"/>
      <c r="G11" s="239"/>
      <c r="H11" s="323">
        <f t="shared" si="0"/>
        <v>0</v>
      </c>
      <c r="I11" s="219" t="str">
        <f t="shared" si="1"/>
        <v>-</v>
      </c>
      <c r="J11" s="324"/>
      <c r="K11" s="323">
        <f t="shared" si="2"/>
        <v>0</v>
      </c>
      <c r="L11" s="219" t="str">
        <f t="shared" si="3"/>
        <v>-</v>
      </c>
      <c r="M11" s="324"/>
    </row>
    <row r="12" spans="1:13" ht="168.75" x14ac:dyDescent="0.2">
      <c r="A12" s="320">
        <v>10</v>
      </c>
      <c r="B12" s="322" t="s">
        <v>454</v>
      </c>
      <c r="C12" s="239">
        <v>496</v>
      </c>
      <c r="D12" s="239">
        <v>481</v>
      </c>
      <c r="E12" s="239">
        <v>496</v>
      </c>
      <c r="F12" s="239">
        <v>481</v>
      </c>
      <c r="G12" s="239">
        <v>28</v>
      </c>
      <c r="H12" s="323">
        <f t="shared" si="0"/>
        <v>-453</v>
      </c>
      <c r="I12" s="219">
        <f t="shared" si="1"/>
        <v>-0.94178794178794178</v>
      </c>
      <c r="J12" s="553" t="s">
        <v>901</v>
      </c>
      <c r="K12" s="323">
        <f t="shared" si="2"/>
        <v>-468</v>
      </c>
      <c r="L12" s="219">
        <f t="shared" si="3"/>
        <v>-0.94354838709677424</v>
      </c>
      <c r="M12" s="553" t="s">
        <v>902</v>
      </c>
    </row>
    <row r="13" spans="1:13" ht="37.5" x14ac:dyDescent="0.2">
      <c r="A13" s="320">
        <v>11</v>
      </c>
      <c r="B13" s="322" t="s">
        <v>455</v>
      </c>
      <c r="C13" s="239"/>
      <c r="D13" s="239"/>
      <c r="E13" s="239"/>
      <c r="F13" s="239"/>
      <c r="G13" s="239"/>
      <c r="H13" s="323">
        <f t="shared" si="0"/>
        <v>0</v>
      </c>
      <c r="I13" s="219" t="str">
        <f t="shared" si="1"/>
        <v>-</v>
      </c>
      <c r="J13" s="324"/>
      <c r="K13" s="323">
        <f t="shared" si="2"/>
        <v>0</v>
      </c>
      <c r="L13" s="219" t="str">
        <f t="shared" si="3"/>
        <v>-</v>
      </c>
      <c r="M13" s="324"/>
    </row>
    <row r="14" spans="1:13" ht="93.75" x14ac:dyDescent="0.2">
      <c r="A14" s="320">
        <v>12</v>
      </c>
      <c r="B14" s="322" t="s">
        <v>456</v>
      </c>
      <c r="C14" s="239">
        <v>-453</v>
      </c>
      <c r="D14" s="239">
        <v>-42</v>
      </c>
      <c r="E14" s="239">
        <v>-453</v>
      </c>
      <c r="F14" s="239">
        <v>-42</v>
      </c>
      <c r="G14" s="239">
        <v>0</v>
      </c>
      <c r="H14" s="323">
        <f t="shared" si="0"/>
        <v>42</v>
      </c>
      <c r="I14" s="219">
        <f t="shared" si="1"/>
        <v>1</v>
      </c>
      <c r="J14" s="553" t="s">
        <v>903</v>
      </c>
      <c r="K14" s="323">
        <f t="shared" si="2"/>
        <v>453</v>
      </c>
      <c r="L14" s="219">
        <f t="shared" si="3"/>
        <v>1</v>
      </c>
      <c r="M14" s="553" t="s">
        <v>904</v>
      </c>
    </row>
    <row r="15" spans="1:13" ht="37.5" x14ac:dyDescent="0.2">
      <c r="A15" s="326">
        <v>13</v>
      </c>
      <c r="B15" s="327" t="s">
        <v>457</v>
      </c>
      <c r="C15" s="240">
        <f>C5+C7+C8+C9+C12+C14</f>
        <v>586705</v>
      </c>
      <c r="D15" s="240">
        <f>D5+D7+D8+D9+D12+D14</f>
        <v>444841</v>
      </c>
      <c r="E15" s="240">
        <f>E5+E7+E8+E9+E12+E14</f>
        <v>586705</v>
      </c>
      <c r="F15" s="240">
        <f>F5+F7+F8+F9+F12+F14</f>
        <v>444841</v>
      </c>
      <c r="G15" s="240">
        <f>G5+G7+G8+G9+G12</f>
        <v>545204</v>
      </c>
      <c r="H15" s="328">
        <f t="shared" si="0"/>
        <v>100363</v>
      </c>
      <c r="I15" s="329">
        <f t="shared" si="1"/>
        <v>0.22561544461953822</v>
      </c>
      <c r="J15" s="330"/>
      <c r="K15" s="328">
        <f t="shared" si="2"/>
        <v>-41501</v>
      </c>
      <c r="L15" s="329">
        <f t="shared" si="3"/>
        <v>-7.0735718972908021E-2</v>
      </c>
      <c r="M15" s="330"/>
    </row>
    <row r="16" spans="1:13" ht="18.75" x14ac:dyDescent="0.2">
      <c r="A16" s="320">
        <v>14</v>
      </c>
      <c r="B16" s="322" t="s">
        <v>458</v>
      </c>
      <c r="C16" s="239"/>
      <c r="D16" s="239"/>
      <c r="E16" s="239"/>
      <c r="F16" s="239"/>
      <c r="G16" s="239"/>
      <c r="H16" s="323">
        <f t="shared" si="0"/>
        <v>0</v>
      </c>
      <c r="I16" s="219" t="str">
        <f t="shared" si="1"/>
        <v>-</v>
      </c>
      <c r="J16" s="324"/>
      <c r="K16" s="323">
        <f t="shared" si="2"/>
        <v>0</v>
      </c>
      <c r="L16" s="219" t="str">
        <f t="shared" si="3"/>
        <v>-</v>
      </c>
      <c r="M16" s="324"/>
    </row>
    <row r="17" spans="1:13" ht="18.75" x14ac:dyDescent="0.2">
      <c r="A17" s="320">
        <v>15</v>
      </c>
      <c r="B17" s="322" t="s">
        <v>459</v>
      </c>
      <c r="C17" s="239"/>
      <c r="D17" s="239"/>
      <c r="E17" s="239"/>
      <c r="F17" s="239"/>
      <c r="G17" s="239"/>
      <c r="H17" s="323">
        <f t="shared" si="0"/>
        <v>0</v>
      </c>
      <c r="I17" s="219" t="str">
        <f t="shared" si="1"/>
        <v>-</v>
      </c>
      <c r="J17" s="324"/>
      <c r="K17" s="323">
        <f t="shared" si="2"/>
        <v>0</v>
      </c>
      <c r="L17" s="219" t="str">
        <f t="shared" si="3"/>
        <v>-</v>
      </c>
      <c r="M17" s="324"/>
    </row>
    <row r="18" spans="1:13" ht="18.75" x14ac:dyDescent="0.2">
      <c r="A18" s="320">
        <v>16</v>
      </c>
      <c r="B18" s="322" t="s">
        <v>460</v>
      </c>
      <c r="C18" s="239"/>
      <c r="D18" s="239"/>
      <c r="E18" s="239"/>
      <c r="F18" s="239"/>
      <c r="G18" s="239"/>
      <c r="H18" s="323">
        <f t="shared" si="0"/>
        <v>0</v>
      </c>
      <c r="I18" s="219" t="str">
        <f t="shared" si="1"/>
        <v>-</v>
      </c>
      <c r="J18" s="324"/>
      <c r="K18" s="323">
        <f t="shared" si="2"/>
        <v>0</v>
      </c>
      <c r="L18" s="219" t="str">
        <f t="shared" si="3"/>
        <v>-</v>
      </c>
      <c r="M18" s="324"/>
    </row>
    <row r="19" spans="1:13" ht="18.75" x14ac:dyDescent="0.2">
      <c r="A19" s="320">
        <v>17</v>
      </c>
      <c r="B19" s="322" t="s">
        <v>461</v>
      </c>
      <c r="C19" s="239"/>
      <c r="D19" s="239"/>
      <c r="E19" s="239"/>
      <c r="F19" s="239"/>
      <c r="G19" s="239"/>
      <c r="H19" s="323">
        <f t="shared" si="0"/>
        <v>0</v>
      </c>
      <c r="I19" s="219" t="str">
        <f t="shared" si="1"/>
        <v>-</v>
      </c>
      <c r="J19" s="548"/>
      <c r="K19" s="323">
        <f t="shared" si="2"/>
        <v>0</v>
      </c>
      <c r="L19" s="219" t="str">
        <f t="shared" si="3"/>
        <v>-</v>
      </c>
      <c r="M19" s="324"/>
    </row>
    <row r="20" spans="1:13" ht="18.75" x14ac:dyDescent="0.2">
      <c r="A20" s="320">
        <v>18</v>
      </c>
      <c r="B20" s="322" t="s">
        <v>462</v>
      </c>
      <c r="C20" s="239"/>
      <c r="D20" s="239"/>
      <c r="E20" s="239"/>
      <c r="F20" s="239"/>
      <c r="G20" s="239"/>
      <c r="H20" s="323">
        <f t="shared" si="0"/>
        <v>0</v>
      </c>
      <c r="I20" s="219" t="str">
        <f t="shared" si="1"/>
        <v>-</v>
      </c>
      <c r="J20" s="324"/>
      <c r="K20" s="323">
        <f t="shared" si="2"/>
        <v>0</v>
      </c>
      <c r="L20" s="219" t="str">
        <f t="shared" si="3"/>
        <v>-</v>
      </c>
      <c r="M20" s="324"/>
    </row>
    <row r="21" spans="1:13" ht="18.75" x14ac:dyDescent="0.2">
      <c r="A21" s="320">
        <v>19</v>
      </c>
      <c r="B21" s="322" t="s">
        <v>463</v>
      </c>
      <c r="C21" s="239"/>
      <c r="D21" s="239"/>
      <c r="E21" s="239"/>
      <c r="F21" s="239"/>
      <c r="G21" s="239"/>
      <c r="H21" s="323">
        <f t="shared" si="0"/>
        <v>0</v>
      </c>
      <c r="I21" s="219" t="str">
        <f t="shared" si="1"/>
        <v>-</v>
      </c>
      <c r="J21" s="324"/>
      <c r="K21" s="323">
        <f t="shared" si="2"/>
        <v>0</v>
      </c>
      <c r="L21" s="219" t="str">
        <f t="shared" si="3"/>
        <v>-</v>
      </c>
      <c r="M21" s="324"/>
    </row>
    <row r="22" spans="1:13" ht="19.5" x14ac:dyDescent="0.2">
      <c r="A22" s="326">
        <v>20</v>
      </c>
      <c r="B22" s="327" t="s">
        <v>464</v>
      </c>
      <c r="C22" s="240">
        <f>C15</f>
        <v>586705</v>
      </c>
      <c r="D22" s="240">
        <f>D15</f>
        <v>444841</v>
      </c>
      <c r="E22" s="240">
        <f>E15</f>
        <v>586705</v>
      </c>
      <c r="F22" s="240">
        <f>F15</f>
        <v>444841</v>
      </c>
      <c r="G22" s="240">
        <f>G15</f>
        <v>545204</v>
      </c>
      <c r="H22" s="328">
        <f t="shared" si="0"/>
        <v>100363</v>
      </c>
      <c r="I22" s="329">
        <f t="shared" si="1"/>
        <v>0.22561544461953822</v>
      </c>
      <c r="J22" s="330"/>
      <c r="K22" s="328">
        <f t="shared" si="2"/>
        <v>-41501</v>
      </c>
      <c r="L22" s="329">
        <f t="shared" si="3"/>
        <v>-7.0735718972908021E-2</v>
      </c>
      <c r="M22" s="330"/>
    </row>
    <row r="23" spans="1:13" ht="19.5" x14ac:dyDescent="0.2">
      <c r="A23" s="331"/>
      <c r="B23" s="332"/>
      <c r="C23" s="333"/>
      <c r="D23" s="333"/>
      <c r="E23" s="333"/>
      <c r="F23" s="333"/>
      <c r="G23" s="333"/>
      <c r="H23" s="334"/>
      <c r="I23" s="318"/>
      <c r="J23" s="335"/>
      <c r="K23" s="334"/>
      <c r="L23" s="318"/>
      <c r="M23" s="335"/>
    </row>
    <row r="24" spans="1:13" ht="18.75" x14ac:dyDescent="0.2">
      <c r="A24" s="232"/>
      <c r="B24" s="336"/>
      <c r="C24" s="336"/>
      <c r="D24" s="336"/>
      <c r="E24" s="336"/>
      <c r="F24" s="336"/>
      <c r="G24" s="336"/>
      <c r="H24" s="336"/>
      <c r="I24" s="336"/>
      <c r="J24" s="336"/>
      <c r="K24" s="336"/>
      <c r="L24" s="336"/>
      <c r="M24" s="336"/>
    </row>
    <row r="25" spans="1:13" ht="18.75" x14ac:dyDescent="0.2">
      <c r="A25" s="746"/>
      <c r="B25" s="746"/>
      <c r="C25" s="746"/>
      <c r="D25" s="746"/>
      <c r="E25" s="746"/>
      <c r="F25" s="746"/>
      <c r="G25" s="746"/>
      <c r="H25" s="746"/>
    </row>
    <row r="26" spans="1:13" ht="18.75" x14ac:dyDescent="0.2">
      <c r="A26" s="319"/>
      <c r="B26" s="336"/>
      <c r="C26" s="336"/>
      <c r="D26" s="336"/>
      <c r="E26" s="336"/>
      <c r="F26" s="336"/>
      <c r="G26" s="336"/>
      <c r="H26" s="336"/>
      <c r="I26" s="336"/>
      <c r="J26" s="336"/>
      <c r="K26" s="336"/>
      <c r="L26" s="336"/>
      <c r="M26" s="336"/>
    </row>
    <row r="27" spans="1:13" x14ac:dyDescent="0.2">
      <c r="A27" s="336"/>
      <c r="B27" s="336"/>
      <c r="C27" s="336"/>
      <c r="D27" s="336"/>
      <c r="E27" s="336"/>
      <c r="F27" s="336"/>
      <c r="G27" s="336"/>
      <c r="H27" s="336"/>
      <c r="I27" s="336"/>
      <c r="J27" s="336"/>
      <c r="K27" s="336"/>
      <c r="L27" s="336"/>
      <c r="M27" s="336"/>
    </row>
    <row r="28" spans="1:13" x14ac:dyDescent="0.2">
      <c r="A28" s="336"/>
      <c r="B28" s="336"/>
      <c r="C28" s="336"/>
      <c r="D28" s="336"/>
      <c r="E28" s="336"/>
      <c r="F28" s="336"/>
      <c r="G28" s="336"/>
      <c r="H28" s="336"/>
      <c r="I28" s="336"/>
      <c r="J28" s="336"/>
      <c r="K28" s="336"/>
      <c r="L28" s="336"/>
      <c r="M28" s="336"/>
    </row>
    <row r="29" spans="1:13" ht="18.75" x14ac:dyDescent="0.2">
      <c r="A29" s="337"/>
      <c r="B29" s="338"/>
      <c r="C29" s="339"/>
      <c r="D29" s="339"/>
      <c r="E29" s="339"/>
      <c r="F29" s="339"/>
      <c r="G29" s="339"/>
      <c r="H29" s="339"/>
      <c r="I29" s="339"/>
      <c r="J29" s="339"/>
      <c r="K29" s="339"/>
      <c r="L29" s="339"/>
      <c r="M29" s="339"/>
    </row>
    <row r="30" spans="1:13" ht="18.75" x14ac:dyDescent="0.2">
      <c r="A30" s="337"/>
      <c r="B30" s="338"/>
      <c r="C30" s="339"/>
      <c r="D30" s="339"/>
      <c r="E30" s="339"/>
      <c r="F30" s="339"/>
      <c r="G30" s="339"/>
      <c r="H30" s="339"/>
      <c r="I30" s="339"/>
      <c r="J30" s="339"/>
      <c r="K30" s="339"/>
      <c r="L30" s="339"/>
      <c r="M30" s="339"/>
    </row>
    <row r="31" spans="1:13" ht="18.75" x14ac:dyDescent="0.2">
      <c r="A31" s="337"/>
      <c r="B31" s="338"/>
      <c r="C31" s="339"/>
      <c r="D31" s="339"/>
      <c r="E31" s="339"/>
      <c r="F31" s="339"/>
      <c r="G31" s="339"/>
      <c r="H31" s="339"/>
      <c r="I31" s="339"/>
      <c r="J31" s="339"/>
      <c r="K31" s="339"/>
      <c r="L31" s="339"/>
      <c r="M31" s="339"/>
    </row>
    <row r="32" spans="1:13" ht="18.75" x14ac:dyDescent="0.2">
      <c r="A32" s="337"/>
      <c r="B32" s="338"/>
      <c r="C32" s="339"/>
      <c r="D32" s="339"/>
      <c r="E32" s="339"/>
      <c r="F32" s="339"/>
      <c r="G32" s="339"/>
      <c r="H32" s="339"/>
      <c r="I32" s="339"/>
      <c r="J32" s="339"/>
      <c r="K32" s="339"/>
      <c r="L32" s="339"/>
      <c r="M32" s="339"/>
    </row>
    <row r="33" spans="1:13" ht="18.75" x14ac:dyDescent="0.2">
      <c r="A33" s="337"/>
      <c r="B33" s="338"/>
      <c r="C33" s="339"/>
      <c r="D33" s="339"/>
      <c r="E33" s="339"/>
      <c r="F33" s="339"/>
      <c r="G33" s="339"/>
      <c r="H33" s="339"/>
      <c r="I33" s="339"/>
      <c r="J33" s="339"/>
      <c r="K33" s="339"/>
      <c r="L33" s="339"/>
      <c r="M33" s="339"/>
    </row>
    <row r="34" spans="1:13" ht="18.75" x14ac:dyDescent="0.2">
      <c r="A34" s="337"/>
      <c r="B34" s="338"/>
      <c r="C34" s="339"/>
      <c r="D34" s="339"/>
      <c r="E34" s="339"/>
      <c r="F34" s="339"/>
      <c r="G34" s="339"/>
      <c r="H34" s="339"/>
      <c r="I34" s="339"/>
      <c r="J34" s="339"/>
      <c r="K34" s="339"/>
      <c r="L34" s="339"/>
      <c r="M34" s="339"/>
    </row>
  </sheetData>
  <sheetProtection formatColumns="0" formatRows="0"/>
  <mergeCells count="1">
    <mergeCell ref="A25:H25"/>
  </mergeCells>
  <pageMargins left="0.70866141732283472" right="0.70866141732283472" top="0.74803149606299213" bottom="0.74803149606299213" header="0.31496062992125984" footer="0.31496062992125984"/>
  <pageSetup paperSize="9" scale="30" fitToHeight="0" orientation="portrait" r:id="rId1"/>
  <headerFooter>
    <oddHeader>&amp;C&amp;"Times New Roman,Bold"&amp;14
Pēļņas/Zaudējumu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3">
    <tabColor rgb="FF00B0F0"/>
    <pageSetUpPr fitToPage="1"/>
  </sheetPr>
  <dimension ref="A1:S62"/>
  <sheetViews>
    <sheetView zoomScale="70" zoomScaleNormal="70" workbookViewId="0">
      <selection activeCell="J8" sqref="J8"/>
    </sheetView>
  </sheetViews>
  <sheetFormatPr defaultRowHeight="18.75" x14ac:dyDescent="0.3"/>
  <cols>
    <col min="1" max="1" width="8.42578125" style="290" bestFit="1" customWidth="1"/>
    <col min="2" max="2" width="45.28515625" style="290" customWidth="1"/>
    <col min="3" max="7" width="17.7109375" style="24" customWidth="1"/>
    <col min="8" max="9" width="17.7109375" style="157" customWidth="1"/>
    <col min="10" max="10" width="43.28515625" style="24" customWidth="1"/>
    <col min="11" max="12" width="17.7109375" style="157" customWidth="1"/>
    <col min="13" max="13" width="48.28515625" style="24" customWidth="1"/>
    <col min="14" max="14" width="9.140625" style="24" customWidth="1"/>
    <col min="15" max="15" width="11.7109375" style="24" bestFit="1" customWidth="1"/>
    <col min="16" max="16384" width="9.140625" style="24"/>
  </cols>
  <sheetData>
    <row r="1" spans="1:15" s="290" customFormat="1" ht="131.25" x14ac:dyDescent="0.3">
      <c r="A1" s="288" t="s">
        <v>0</v>
      </c>
      <c r="B1" s="289" t="s">
        <v>360</v>
      </c>
      <c r="C1" s="193" t="s">
        <v>654</v>
      </c>
      <c r="D1" s="193" t="s">
        <v>655</v>
      </c>
      <c r="E1" s="193" t="s">
        <v>795</v>
      </c>
      <c r="F1" s="193" t="s">
        <v>796</v>
      </c>
      <c r="G1" s="193" t="s">
        <v>798</v>
      </c>
      <c r="H1" s="194" t="s">
        <v>660</v>
      </c>
      <c r="I1" s="194" t="s">
        <v>659</v>
      </c>
      <c r="J1" s="193" t="s">
        <v>754</v>
      </c>
      <c r="K1" s="194" t="s">
        <v>661</v>
      </c>
      <c r="L1" s="194" t="s">
        <v>658</v>
      </c>
      <c r="M1" s="193" t="s">
        <v>754</v>
      </c>
    </row>
    <row r="2" spans="1:15" s="290" customFormat="1" x14ac:dyDescent="0.3">
      <c r="A2" s="291">
        <v>1</v>
      </c>
      <c r="B2" s="193">
        <v>2</v>
      </c>
      <c r="C2" s="193">
        <v>3</v>
      </c>
      <c r="D2" s="193">
        <v>4</v>
      </c>
      <c r="E2" s="193">
        <v>5</v>
      </c>
      <c r="F2" s="193">
        <v>6</v>
      </c>
      <c r="G2" s="193">
        <v>7</v>
      </c>
      <c r="H2" s="194">
        <v>8</v>
      </c>
      <c r="I2" s="196">
        <v>9</v>
      </c>
      <c r="J2" s="193">
        <v>10</v>
      </c>
      <c r="K2" s="197">
        <v>11</v>
      </c>
      <c r="L2" s="196">
        <v>12</v>
      </c>
      <c r="M2" s="193">
        <v>13</v>
      </c>
    </row>
    <row r="3" spans="1:15" s="290" customFormat="1" ht="19.5" x14ac:dyDescent="0.3">
      <c r="A3" s="292">
        <v>45000</v>
      </c>
      <c r="B3" s="293" t="s">
        <v>361</v>
      </c>
      <c r="C3" s="294">
        <v>6220215</v>
      </c>
      <c r="D3" s="294">
        <v>6617584</v>
      </c>
      <c r="E3" s="294">
        <v>6220215</v>
      </c>
      <c r="F3" s="294">
        <v>6617584</v>
      </c>
      <c r="G3" s="294">
        <f>G4+G5+G6</f>
        <v>6706580</v>
      </c>
      <c r="H3" s="295">
        <f>G3-F3</f>
        <v>88996</v>
      </c>
      <c r="I3" s="296">
        <f>IFERROR(H3/ABS(F3), "-")</f>
        <v>1.3448412592873774E-2</v>
      </c>
      <c r="J3" s="358"/>
      <c r="K3" s="295">
        <f>G3-E3</f>
        <v>486365</v>
      </c>
      <c r="L3" s="296">
        <f>IFERROR(K3/ABS(E3), "-")</f>
        <v>7.8191027159029064E-2</v>
      </c>
      <c r="M3" s="358"/>
    </row>
    <row r="4" spans="1:15" x14ac:dyDescent="0.3">
      <c r="A4" s="297">
        <v>45100</v>
      </c>
      <c r="B4" s="298" t="s">
        <v>362</v>
      </c>
      <c r="C4" s="299">
        <v>3947044</v>
      </c>
      <c r="D4" s="299">
        <v>3947044</v>
      </c>
      <c r="E4" s="299">
        <v>3947044</v>
      </c>
      <c r="F4" s="299">
        <v>3947044</v>
      </c>
      <c r="G4" s="299">
        <v>3947044</v>
      </c>
      <c r="H4" s="300">
        <f t="shared" ref="H4:H26" si="0">G4-F4</f>
        <v>0</v>
      </c>
      <c r="I4" s="219">
        <f t="shared" ref="I4:I58" si="1">IFERROR(H4/ABS(F4), "-")</f>
        <v>0</v>
      </c>
      <c r="J4" s="358"/>
      <c r="K4" s="300">
        <f t="shared" ref="K4:K26" si="2">G4-E4</f>
        <v>0</v>
      </c>
      <c r="L4" s="219">
        <f>IFERROR(K4/ABS(E4), "-")</f>
        <v>0</v>
      </c>
      <c r="M4" s="358"/>
    </row>
    <row r="5" spans="1:15" x14ac:dyDescent="0.3">
      <c r="A5" s="297">
        <v>45200</v>
      </c>
      <c r="B5" s="298" t="s">
        <v>363</v>
      </c>
      <c r="C5" s="299">
        <v>2317378</v>
      </c>
      <c r="D5" s="299">
        <v>2258538</v>
      </c>
      <c r="E5" s="299">
        <v>2317378</v>
      </c>
      <c r="F5" s="299">
        <v>2258538</v>
      </c>
      <c r="G5" s="299">
        <v>2258538</v>
      </c>
      <c r="H5" s="300">
        <f t="shared" si="0"/>
        <v>0</v>
      </c>
      <c r="I5" s="219">
        <f t="shared" si="1"/>
        <v>0</v>
      </c>
      <c r="J5" s="358"/>
      <c r="K5" s="300">
        <f t="shared" si="2"/>
        <v>-58840</v>
      </c>
      <c r="L5" s="219">
        <f t="shared" ref="L5:L58" si="3">IFERROR(K5/ABS(E5), "-")</f>
        <v>-2.5390764907580896E-2</v>
      </c>
      <c r="M5" s="358"/>
    </row>
    <row r="6" spans="1:15" s="290" customFormat="1" x14ac:dyDescent="0.3">
      <c r="A6" s="301">
        <v>45300</v>
      </c>
      <c r="B6" s="293" t="s">
        <v>364</v>
      </c>
      <c r="C6" s="302">
        <v>-44207</v>
      </c>
      <c r="D6" s="302">
        <v>412002</v>
      </c>
      <c r="E6" s="302">
        <v>-44207</v>
      </c>
      <c r="F6" s="302">
        <v>412002</v>
      </c>
      <c r="G6" s="302">
        <f>G7+G8</f>
        <v>500998</v>
      </c>
      <c r="H6" s="303">
        <f t="shared" si="0"/>
        <v>88996</v>
      </c>
      <c r="I6" s="304">
        <f t="shared" si="1"/>
        <v>0.21600866015213518</v>
      </c>
      <c r="J6" s="358"/>
      <c r="K6" s="305">
        <f t="shared" si="2"/>
        <v>545205</v>
      </c>
      <c r="L6" s="306">
        <f t="shared" si="3"/>
        <v>12.333001560838781</v>
      </c>
      <c r="M6" s="358"/>
    </row>
    <row r="7" spans="1:15" x14ac:dyDescent="0.3">
      <c r="A7" s="297">
        <v>45310</v>
      </c>
      <c r="B7" s="298" t="s">
        <v>365</v>
      </c>
      <c r="C7" s="299">
        <v>-630912</v>
      </c>
      <c r="D7" s="299">
        <v>-32839</v>
      </c>
      <c r="E7" s="299">
        <v>-630912</v>
      </c>
      <c r="F7" s="299">
        <v>-32839</v>
      </c>
      <c r="G7" s="299">
        <v>-44206</v>
      </c>
      <c r="H7" s="300">
        <f t="shared" si="0"/>
        <v>-11367</v>
      </c>
      <c r="I7" s="219">
        <f t="shared" si="1"/>
        <v>-0.34614330521635861</v>
      </c>
      <c r="J7" s="358"/>
      <c r="K7" s="300">
        <f t="shared" si="2"/>
        <v>586706</v>
      </c>
      <c r="L7" s="219">
        <f t="shared" si="3"/>
        <v>0.92993317610062898</v>
      </c>
      <c r="M7" s="358"/>
    </row>
    <row r="8" spans="1:15" ht="127.5" customHeight="1" x14ac:dyDescent="0.3">
      <c r="A8" s="297">
        <v>45320</v>
      </c>
      <c r="B8" s="298" t="s">
        <v>366</v>
      </c>
      <c r="C8" s="299">
        <v>586705</v>
      </c>
      <c r="D8" s="299">
        <v>444841</v>
      </c>
      <c r="E8" s="299">
        <v>586705</v>
      </c>
      <c r="F8" s="299">
        <v>444841</v>
      </c>
      <c r="G8" s="299">
        <v>545204</v>
      </c>
      <c r="H8" s="300">
        <f t="shared" si="0"/>
        <v>100363</v>
      </c>
      <c r="I8" s="219">
        <f t="shared" si="1"/>
        <v>0.22561544461953822</v>
      </c>
      <c r="J8" s="550" t="s">
        <v>883</v>
      </c>
      <c r="K8" s="300">
        <f t="shared" si="2"/>
        <v>-41501</v>
      </c>
      <c r="L8" s="219">
        <f t="shared" si="3"/>
        <v>-7.0735718972908021E-2</v>
      </c>
      <c r="M8" s="550" t="s">
        <v>884</v>
      </c>
    </row>
    <row r="9" spans="1:15" ht="66.75" customHeight="1" x14ac:dyDescent="0.3">
      <c r="A9" s="292">
        <v>46000</v>
      </c>
      <c r="B9" s="307" t="s">
        <v>367</v>
      </c>
      <c r="C9" s="123">
        <v>58230</v>
      </c>
      <c r="D9" s="123">
        <v>58230</v>
      </c>
      <c r="E9" s="123">
        <v>58230</v>
      </c>
      <c r="F9" s="123">
        <v>58230</v>
      </c>
      <c r="G9" s="123">
        <v>128187</v>
      </c>
      <c r="H9" s="154">
        <f t="shared" si="0"/>
        <v>69957</v>
      </c>
      <c r="I9" s="308">
        <f t="shared" si="1"/>
        <v>1.2013910355486863</v>
      </c>
      <c r="J9" s="551" t="s">
        <v>885</v>
      </c>
      <c r="K9" s="154">
        <f t="shared" si="2"/>
        <v>69957</v>
      </c>
      <c r="L9" s="308">
        <f t="shared" si="3"/>
        <v>1.2013910355486863</v>
      </c>
      <c r="M9" s="551" t="s">
        <v>746</v>
      </c>
    </row>
    <row r="10" spans="1:15" s="290" customFormat="1" ht="19.5" x14ac:dyDescent="0.3">
      <c r="A10" s="292">
        <v>47000</v>
      </c>
      <c r="B10" s="307" t="s">
        <v>368</v>
      </c>
      <c r="C10" s="294">
        <v>7767745</v>
      </c>
      <c r="D10" s="294">
        <v>8491327</v>
      </c>
      <c r="E10" s="294">
        <v>7767745</v>
      </c>
      <c r="F10" s="294">
        <v>8491327</v>
      </c>
      <c r="G10" s="294">
        <f>G11+G17</f>
        <v>8046947</v>
      </c>
      <c r="H10" s="295">
        <f t="shared" si="0"/>
        <v>-444380</v>
      </c>
      <c r="I10" s="296">
        <f t="shared" si="1"/>
        <v>-5.2333398537119109E-2</v>
      </c>
      <c r="J10" s="359"/>
      <c r="K10" s="295">
        <f t="shared" si="2"/>
        <v>279202</v>
      </c>
      <c r="L10" s="296">
        <f t="shared" si="3"/>
        <v>3.5943764889295411E-2</v>
      </c>
      <c r="M10" s="359"/>
    </row>
    <row r="11" spans="1:15" s="290" customFormat="1" ht="19.5" x14ac:dyDescent="0.3">
      <c r="A11" s="292">
        <v>47100</v>
      </c>
      <c r="B11" s="307" t="s">
        <v>369</v>
      </c>
      <c r="C11" s="294">
        <v>5859113</v>
      </c>
      <c r="D11" s="294">
        <v>6106998</v>
      </c>
      <c r="E11" s="294">
        <v>5859113</v>
      </c>
      <c r="F11" s="294">
        <v>6106998</v>
      </c>
      <c r="G11" s="294">
        <f t="shared" ref="G11" si="4">SUM(G12:G16)</f>
        <v>6075250</v>
      </c>
      <c r="H11" s="295">
        <f t="shared" si="0"/>
        <v>-31748</v>
      </c>
      <c r="I11" s="296">
        <f t="shared" si="1"/>
        <v>-5.1986262317426663E-3</v>
      </c>
      <c r="J11" s="749"/>
      <c r="K11" s="295">
        <f t="shared" si="2"/>
        <v>216137</v>
      </c>
      <c r="L11" s="296">
        <f t="shared" si="3"/>
        <v>3.6889030814049838E-2</v>
      </c>
      <c r="M11" s="749"/>
    </row>
    <row r="12" spans="1:15" x14ac:dyDescent="0.3">
      <c r="A12" s="297">
        <v>47110</v>
      </c>
      <c r="B12" s="298" t="s">
        <v>370</v>
      </c>
      <c r="C12" s="124"/>
      <c r="D12" s="124"/>
      <c r="E12" s="124"/>
      <c r="F12" s="124"/>
      <c r="G12" s="124"/>
      <c r="H12" s="156">
        <f t="shared" si="0"/>
        <v>0</v>
      </c>
      <c r="I12" s="309" t="str">
        <f t="shared" si="1"/>
        <v>-</v>
      </c>
      <c r="J12" s="750"/>
      <c r="K12" s="156">
        <f t="shared" si="2"/>
        <v>0</v>
      </c>
      <c r="L12" s="309" t="str">
        <f t="shared" si="3"/>
        <v>-</v>
      </c>
      <c r="M12" s="750"/>
    </row>
    <row r="13" spans="1:15" ht="37.5" x14ac:dyDescent="0.3">
      <c r="A13" s="297">
        <v>47120</v>
      </c>
      <c r="B13" s="298" t="s">
        <v>371</v>
      </c>
      <c r="C13" s="124"/>
      <c r="D13" s="124"/>
      <c r="E13" s="124"/>
      <c r="F13" s="124"/>
      <c r="G13" s="124"/>
      <c r="H13" s="156">
        <f t="shared" si="0"/>
        <v>0</v>
      </c>
      <c r="I13" s="309" t="str">
        <f t="shared" si="1"/>
        <v>-</v>
      </c>
      <c r="J13" s="750"/>
      <c r="K13" s="156">
        <f t="shared" si="2"/>
        <v>0</v>
      </c>
      <c r="L13" s="309" t="str">
        <f t="shared" si="3"/>
        <v>-</v>
      </c>
      <c r="M13" s="750"/>
    </row>
    <row r="14" spans="1:15" x14ac:dyDescent="0.3">
      <c r="A14" s="297">
        <v>47130</v>
      </c>
      <c r="B14" s="298" t="s">
        <v>372</v>
      </c>
      <c r="C14" s="124"/>
      <c r="D14" s="124"/>
      <c r="E14" s="124"/>
      <c r="F14" s="124"/>
      <c r="G14" s="124"/>
      <c r="H14" s="156">
        <f t="shared" si="0"/>
        <v>0</v>
      </c>
      <c r="I14" s="309" t="str">
        <f t="shared" si="1"/>
        <v>-</v>
      </c>
      <c r="J14" s="750"/>
      <c r="K14" s="156">
        <f t="shared" si="2"/>
        <v>0</v>
      </c>
      <c r="L14" s="309" t="str">
        <f t="shared" si="3"/>
        <v>-</v>
      </c>
      <c r="M14" s="750"/>
    </row>
    <row r="15" spans="1:15" x14ac:dyDescent="0.3">
      <c r="A15" s="297">
        <v>47140</v>
      </c>
      <c r="B15" s="298" t="s">
        <v>373</v>
      </c>
      <c r="C15" s="124">
        <v>5859113</v>
      </c>
      <c r="D15" s="124">
        <v>6106998</v>
      </c>
      <c r="E15" s="124">
        <v>5859113</v>
      </c>
      <c r="F15" s="124">
        <v>6106998</v>
      </c>
      <c r="G15" s="549">
        <v>6075250</v>
      </c>
      <c r="H15" s="156">
        <f t="shared" si="0"/>
        <v>-31748</v>
      </c>
      <c r="I15" s="309">
        <f t="shared" si="1"/>
        <v>-5.1986262317426663E-3</v>
      </c>
      <c r="J15" s="750"/>
      <c r="K15" s="156">
        <f t="shared" si="2"/>
        <v>216137</v>
      </c>
      <c r="L15" s="309">
        <f t="shared" si="3"/>
        <v>3.6889030814049838E-2</v>
      </c>
      <c r="M15" s="750"/>
    </row>
    <row r="16" spans="1:15" x14ac:dyDescent="0.3">
      <c r="A16" s="297">
        <v>47150</v>
      </c>
      <c r="B16" s="298" t="s">
        <v>374</v>
      </c>
      <c r="C16" s="124"/>
      <c r="D16" s="124"/>
      <c r="E16" s="124"/>
      <c r="F16" s="124"/>
      <c r="G16" s="124"/>
      <c r="H16" s="156">
        <f t="shared" si="0"/>
        <v>0</v>
      </c>
      <c r="I16" s="309" t="str">
        <f t="shared" si="1"/>
        <v>-</v>
      </c>
      <c r="J16" s="751"/>
      <c r="K16" s="156">
        <f t="shared" si="2"/>
        <v>0</v>
      </c>
      <c r="L16" s="309" t="str">
        <f t="shared" si="3"/>
        <v>-</v>
      </c>
      <c r="M16" s="751"/>
      <c r="O16" s="469"/>
    </row>
    <row r="17" spans="1:19" s="290" customFormat="1" ht="18.75" customHeight="1" x14ac:dyDescent="0.3">
      <c r="A17" s="292">
        <v>47200</v>
      </c>
      <c r="B17" s="307" t="s">
        <v>375</v>
      </c>
      <c r="C17" s="294">
        <v>1908632</v>
      </c>
      <c r="D17" s="294">
        <v>2384329</v>
      </c>
      <c r="E17" s="294">
        <v>1908632</v>
      </c>
      <c r="F17" s="294">
        <v>2384329</v>
      </c>
      <c r="G17" s="294">
        <f t="shared" ref="G17" si="5">SUM(G18:G25)</f>
        <v>1971697</v>
      </c>
      <c r="H17" s="295">
        <f t="shared" si="0"/>
        <v>-412632</v>
      </c>
      <c r="I17" s="296">
        <f t="shared" si="1"/>
        <v>-0.17306000975536515</v>
      </c>
      <c r="J17" s="752" t="s">
        <v>886</v>
      </c>
      <c r="K17" s="295">
        <f t="shared" si="2"/>
        <v>63065</v>
      </c>
      <c r="L17" s="296">
        <f t="shared" si="3"/>
        <v>3.3041990284140683E-2</v>
      </c>
      <c r="M17" s="749"/>
    </row>
    <row r="18" spans="1:19" x14ac:dyDescent="0.3">
      <c r="A18" s="297">
        <v>47210</v>
      </c>
      <c r="B18" s="298" t="s">
        <v>370</v>
      </c>
      <c r="C18" s="299"/>
      <c r="D18" s="299"/>
      <c r="E18" s="299"/>
      <c r="F18" s="299"/>
      <c r="G18" s="299"/>
      <c r="H18" s="300">
        <f t="shared" si="0"/>
        <v>0</v>
      </c>
      <c r="I18" s="219" t="str">
        <f t="shared" si="1"/>
        <v>-</v>
      </c>
      <c r="J18" s="753"/>
      <c r="K18" s="300">
        <f t="shared" si="2"/>
        <v>0</v>
      </c>
      <c r="L18" s="219" t="str">
        <f t="shared" si="3"/>
        <v>-</v>
      </c>
      <c r="M18" s="750"/>
    </row>
    <row r="19" spans="1:19" x14ac:dyDescent="0.3">
      <c r="A19" s="297">
        <v>47220</v>
      </c>
      <c r="B19" s="298" t="s">
        <v>372</v>
      </c>
      <c r="C19" s="299"/>
      <c r="D19" s="299"/>
      <c r="E19" s="299"/>
      <c r="F19" s="299"/>
      <c r="G19" s="299"/>
      <c r="H19" s="300">
        <f t="shared" si="0"/>
        <v>0</v>
      </c>
      <c r="I19" s="219" t="str">
        <f t="shared" si="1"/>
        <v>-</v>
      </c>
      <c r="J19" s="753"/>
      <c r="K19" s="300">
        <f t="shared" si="2"/>
        <v>0</v>
      </c>
      <c r="L19" s="219" t="str">
        <f t="shared" si="3"/>
        <v>-</v>
      </c>
      <c r="M19" s="750"/>
    </row>
    <row r="20" spans="1:19" x14ac:dyDescent="0.3">
      <c r="A20" s="297">
        <v>47230</v>
      </c>
      <c r="B20" s="298" t="s">
        <v>376</v>
      </c>
      <c r="C20" s="299">
        <v>10108</v>
      </c>
      <c r="D20" s="299">
        <v>9400</v>
      </c>
      <c r="E20" s="299">
        <v>10108</v>
      </c>
      <c r="F20" s="299">
        <v>9400</v>
      </c>
      <c r="G20" s="299">
        <v>20946</v>
      </c>
      <c r="H20" s="300">
        <f t="shared" si="0"/>
        <v>11546</v>
      </c>
      <c r="I20" s="219">
        <f t="shared" si="1"/>
        <v>1.2282978723404254</v>
      </c>
      <c r="J20" s="753"/>
      <c r="K20" s="300">
        <f t="shared" si="2"/>
        <v>10838</v>
      </c>
      <c r="L20" s="219">
        <f t="shared" si="3"/>
        <v>1.0722200237435695</v>
      </c>
      <c r="M20" s="750"/>
      <c r="S20" s="310"/>
    </row>
    <row r="21" spans="1:19" ht="37.5" x14ac:dyDescent="0.3">
      <c r="A21" s="297">
        <v>47240</v>
      </c>
      <c r="B21" s="298" t="s">
        <v>377</v>
      </c>
      <c r="C21" s="299">
        <v>128568</v>
      </c>
      <c r="D21" s="299">
        <v>627370</v>
      </c>
      <c r="E21" s="299">
        <v>128568</v>
      </c>
      <c r="F21" s="299">
        <v>627370</v>
      </c>
      <c r="G21" s="299">
        <v>168623</v>
      </c>
      <c r="H21" s="300">
        <f t="shared" si="0"/>
        <v>-458747</v>
      </c>
      <c r="I21" s="219">
        <f t="shared" si="1"/>
        <v>-0.73122240464159904</v>
      </c>
      <c r="J21" s="753"/>
      <c r="K21" s="300">
        <f t="shared" si="2"/>
        <v>40055</v>
      </c>
      <c r="L21" s="219">
        <f t="shared" si="3"/>
        <v>0.31154719681413728</v>
      </c>
      <c r="M21" s="750"/>
    </row>
    <row r="22" spans="1:19" x14ac:dyDescent="0.3">
      <c r="A22" s="297">
        <v>47250</v>
      </c>
      <c r="B22" s="298" t="s">
        <v>378</v>
      </c>
      <c r="C22" s="299">
        <v>405380</v>
      </c>
      <c r="D22" s="299">
        <v>410000</v>
      </c>
      <c r="E22" s="299">
        <v>405380</v>
      </c>
      <c r="F22" s="299">
        <v>410000</v>
      </c>
      <c r="G22" s="299">
        <v>708207</v>
      </c>
      <c r="H22" s="300">
        <f t="shared" si="0"/>
        <v>298207</v>
      </c>
      <c r="I22" s="219">
        <f t="shared" si="1"/>
        <v>0.72733414634146343</v>
      </c>
      <c r="J22" s="753"/>
      <c r="K22" s="300">
        <f t="shared" si="2"/>
        <v>302827</v>
      </c>
      <c r="L22" s="219">
        <f t="shared" si="3"/>
        <v>0.74702007992500863</v>
      </c>
      <c r="M22" s="750"/>
    </row>
    <row r="23" spans="1:19" x14ac:dyDescent="0.3">
      <c r="A23" s="297">
        <v>47260</v>
      </c>
      <c r="B23" s="298" t="s">
        <v>379</v>
      </c>
      <c r="C23" s="299">
        <v>466913</v>
      </c>
      <c r="D23" s="299">
        <v>470000</v>
      </c>
      <c r="E23" s="299">
        <v>466913</v>
      </c>
      <c r="F23" s="299">
        <v>470000</v>
      </c>
      <c r="G23" s="299">
        <v>95432</v>
      </c>
      <c r="H23" s="300">
        <f t="shared" si="0"/>
        <v>-374568</v>
      </c>
      <c r="I23" s="219">
        <f t="shared" si="1"/>
        <v>-0.79695319148936172</v>
      </c>
      <c r="J23" s="753"/>
      <c r="K23" s="300">
        <f t="shared" si="2"/>
        <v>-371481</v>
      </c>
      <c r="L23" s="219">
        <f t="shared" si="3"/>
        <v>-0.79561074547078359</v>
      </c>
      <c r="M23" s="750"/>
    </row>
    <row r="24" spans="1:19" x14ac:dyDescent="0.3">
      <c r="A24" s="297">
        <v>47280</v>
      </c>
      <c r="B24" s="298" t="s">
        <v>373</v>
      </c>
      <c r="C24" s="299">
        <v>166602</v>
      </c>
      <c r="D24" s="299">
        <v>167000</v>
      </c>
      <c r="E24" s="299">
        <v>166602</v>
      </c>
      <c r="F24" s="299">
        <v>167000</v>
      </c>
      <c r="G24" s="549">
        <v>198927</v>
      </c>
      <c r="H24" s="300">
        <f t="shared" si="0"/>
        <v>31927</v>
      </c>
      <c r="I24" s="219">
        <f t="shared" si="1"/>
        <v>0.19117964071856289</v>
      </c>
      <c r="J24" s="753"/>
      <c r="K24" s="300">
        <f t="shared" si="2"/>
        <v>32325</v>
      </c>
      <c r="L24" s="219">
        <f t="shared" si="3"/>
        <v>0.19402528180934203</v>
      </c>
      <c r="M24" s="750"/>
    </row>
    <row r="25" spans="1:19" x14ac:dyDescent="0.3">
      <c r="A25" s="297">
        <v>47290</v>
      </c>
      <c r="B25" s="298" t="s">
        <v>380</v>
      </c>
      <c r="C25" s="299">
        <v>731061</v>
      </c>
      <c r="D25" s="299">
        <v>700559</v>
      </c>
      <c r="E25" s="299">
        <v>731061</v>
      </c>
      <c r="F25" s="299">
        <v>700559</v>
      </c>
      <c r="G25" s="299">
        <v>779562</v>
      </c>
      <c r="H25" s="300">
        <f t="shared" si="0"/>
        <v>79003</v>
      </c>
      <c r="I25" s="219">
        <f t="shared" si="1"/>
        <v>0.11277137257532913</v>
      </c>
      <c r="J25" s="754"/>
      <c r="K25" s="300">
        <f t="shared" si="2"/>
        <v>48501</v>
      </c>
      <c r="L25" s="219">
        <f t="shared" si="3"/>
        <v>6.6343301037806696E-2</v>
      </c>
      <c r="M25" s="751"/>
    </row>
    <row r="26" spans="1:19" s="290" customFormat="1" ht="37.5" x14ac:dyDescent="0.3">
      <c r="A26" s="292">
        <v>48000</v>
      </c>
      <c r="B26" s="307" t="s">
        <v>381</v>
      </c>
      <c r="C26" s="294">
        <v>14046190</v>
      </c>
      <c r="D26" s="294">
        <v>15167141</v>
      </c>
      <c r="E26" s="294">
        <v>14046190</v>
      </c>
      <c r="F26" s="294">
        <v>15167141</v>
      </c>
      <c r="G26" s="294">
        <f t="shared" ref="G26" si="6">G10+G9+G3</f>
        <v>14881714</v>
      </c>
      <c r="H26" s="295">
        <f t="shared" si="0"/>
        <v>-285427</v>
      </c>
      <c r="I26" s="296">
        <f t="shared" si="1"/>
        <v>-1.8818774085373111E-2</v>
      </c>
      <c r="J26" s="359"/>
      <c r="K26" s="295">
        <f t="shared" si="2"/>
        <v>835524</v>
      </c>
      <c r="L26" s="296">
        <f t="shared" si="3"/>
        <v>5.9484030900906225E-2</v>
      </c>
      <c r="M26" s="359"/>
    </row>
    <row r="27" spans="1:19" x14ac:dyDescent="0.3">
      <c r="A27" s="758"/>
      <c r="B27" s="759"/>
      <c r="C27" s="759"/>
      <c r="D27" s="759"/>
      <c r="E27" s="759"/>
      <c r="F27" s="759"/>
      <c r="G27" s="759"/>
      <c r="H27" s="759"/>
      <c r="I27" s="759"/>
      <c r="J27" s="759"/>
      <c r="K27" s="759"/>
      <c r="L27" s="759"/>
      <c r="M27" s="759"/>
    </row>
    <row r="28" spans="1:19" s="290" customFormat="1" ht="19.5" x14ac:dyDescent="0.3">
      <c r="A28" s="292">
        <v>49000</v>
      </c>
      <c r="B28" s="307" t="s">
        <v>382</v>
      </c>
      <c r="C28" s="294">
        <v>10423751</v>
      </c>
      <c r="D28" s="294">
        <v>10887654</v>
      </c>
      <c r="E28" s="294">
        <v>10423751</v>
      </c>
      <c r="F28" s="294">
        <v>10887654</v>
      </c>
      <c r="G28" s="294">
        <f t="shared" ref="G28" si="7">G29+G32+G39</f>
        <v>11932762</v>
      </c>
      <c r="H28" s="295">
        <f t="shared" ref="H28:H54" si="8">G28-F28</f>
        <v>1045108</v>
      </c>
      <c r="I28" s="296">
        <f t="shared" si="1"/>
        <v>9.599019219383717E-2</v>
      </c>
      <c r="J28" s="359"/>
      <c r="K28" s="295">
        <f t="shared" ref="K28:K54" si="9">G28-E28</f>
        <v>1509011</v>
      </c>
      <c r="L28" s="296">
        <f t="shared" si="3"/>
        <v>0.1447666008138529</v>
      </c>
      <c r="M28" s="359"/>
    </row>
    <row r="29" spans="1:19" s="290" customFormat="1" ht="19.5" x14ac:dyDescent="0.3">
      <c r="A29" s="292">
        <v>49100</v>
      </c>
      <c r="B29" s="307" t="s">
        <v>383</v>
      </c>
      <c r="C29" s="294">
        <v>52533</v>
      </c>
      <c r="D29" s="294">
        <v>27737</v>
      </c>
      <c r="E29" s="294">
        <v>52533</v>
      </c>
      <c r="F29" s="294">
        <v>27737</v>
      </c>
      <c r="G29" s="294">
        <f t="shared" ref="G29" si="10">G30+G31</f>
        <v>31247</v>
      </c>
      <c r="H29" s="295">
        <f t="shared" si="8"/>
        <v>3510</v>
      </c>
      <c r="I29" s="296">
        <f t="shared" si="1"/>
        <v>0.12654576918916971</v>
      </c>
      <c r="J29" s="752" t="s">
        <v>887</v>
      </c>
      <c r="K29" s="295">
        <f t="shared" si="9"/>
        <v>-21286</v>
      </c>
      <c r="L29" s="296">
        <f t="shared" si="3"/>
        <v>-0.40519292635105553</v>
      </c>
      <c r="M29" s="752" t="s">
        <v>888</v>
      </c>
    </row>
    <row r="30" spans="1:19" x14ac:dyDescent="0.3">
      <c r="A30" s="297">
        <v>49110</v>
      </c>
      <c r="B30" s="298" t="s">
        <v>384</v>
      </c>
      <c r="C30" s="124">
        <v>52533</v>
      </c>
      <c r="D30" s="124">
        <v>27737</v>
      </c>
      <c r="E30" s="124">
        <v>52533</v>
      </c>
      <c r="F30" s="124">
        <v>27737</v>
      </c>
      <c r="G30" s="124">
        <v>31247</v>
      </c>
      <c r="H30" s="156">
        <f t="shared" si="8"/>
        <v>3510</v>
      </c>
      <c r="I30" s="309">
        <f t="shared" si="1"/>
        <v>0.12654576918916971</v>
      </c>
      <c r="J30" s="753"/>
      <c r="K30" s="156">
        <f t="shared" si="9"/>
        <v>-21286</v>
      </c>
      <c r="L30" s="309">
        <f t="shared" si="3"/>
        <v>-0.40519292635105553</v>
      </c>
      <c r="M30" s="753"/>
    </row>
    <row r="31" spans="1:19" ht="37.5" x14ac:dyDescent="0.3">
      <c r="A31" s="297">
        <v>49120</v>
      </c>
      <c r="B31" s="298" t="s">
        <v>385</v>
      </c>
      <c r="C31" s="124"/>
      <c r="D31" s="124"/>
      <c r="E31" s="124"/>
      <c r="F31" s="124"/>
      <c r="G31" s="124"/>
      <c r="H31" s="156">
        <f t="shared" si="8"/>
        <v>0</v>
      </c>
      <c r="I31" s="309" t="str">
        <f t="shared" si="1"/>
        <v>-</v>
      </c>
      <c r="J31" s="754"/>
      <c r="K31" s="156">
        <f t="shared" si="9"/>
        <v>0</v>
      </c>
      <c r="L31" s="309" t="str">
        <f t="shared" si="3"/>
        <v>-</v>
      </c>
      <c r="M31" s="754"/>
    </row>
    <row r="32" spans="1:19" s="290" customFormat="1" ht="19.5" x14ac:dyDescent="0.3">
      <c r="A32" s="292">
        <v>49200</v>
      </c>
      <c r="B32" s="307" t="s">
        <v>386</v>
      </c>
      <c r="C32" s="294">
        <v>10371218</v>
      </c>
      <c r="D32" s="294">
        <v>10859917</v>
      </c>
      <c r="E32" s="294">
        <v>10371218</v>
      </c>
      <c r="F32" s="294">
        <v>10859917</v>
      </c>
      <c r="G32" s="294">
        <f t="shared" ref="G32" si="11">SUM(G33:G38)</f>
        <v>11901515</v>
      </c>
      <c r="H32" s="295">
        <f t="shared" si="8"/>
        <v>1041598</v>
      </c>
      <c r="I32" s="296">
        <f t="shared" si="1"/>
        <v>9.5912151078134389E-2</v>
      </c>
      <c r="J32" s="752" t="s">
        <v>889</v>
      </c>
      <c r="K32" s="295">
        <f t="shared" si="9"/>
        <v>1530297</v>
      </c>
      <c r="L32" s="296">
        <f t="shared" si="3"/>
        <v>0.14755229327934288</v>
      </c>
      <c r="M32" s="752" t="s">
        <v>890</v>
      </c>
    </row>
    <row r="33" spans="1:13" ht="37.5" x14ac:dyDescent="0.3">
      <c r="A33" s="297">
        <v>49210</v>
      </c>
      <c r="B33" s="298" t="s">
        <v>387</v>
      </c>
      <c r="C33" s="124">
        <v>7691822</v>
      </c>
      <c r="D33" s="124">
        <v>7777000</v>
      </c>
      <c r="E33" s="124">
        <v>7691822</v>
      </c>
      <c r="F33" s="124">
        <v>7777000</v>
      </c>
      <c r="G33" s="124">
        <v>7604522</v>
      </c>
      <c r="H33" s="156">
        <f t="shared" si="8"/>
        <v>-172478</v>
      </c>
      <c r="I33" s="309">
        <f t="shared" si="1"/>
        <v>-2.2177960653208179E-2</v>
      </c>
      <c r="J33" s="753"/>
      <c r="K33" s="156">
        <f t="shared" si="9"/>
        <v>-87300</v>
      </c>
      <c r="L33" s="309">
        <f t="shared" si="3"/>
        <v>-1.1349716621107456E-2</v>
      </c>
      <c r="M33" s="753"/>
    </row>
    <row r="34" spans="1:13" x14ac:dyDescent="0.3">
      <c r="A34" s="297">
        <v>49220</v>
      </c>
      <c r="B34" s="298" t="s">
        <v>388</v>
      </c>
      <c r="C34" s="124">
        <v>1834144</v>
      </c>
      <c r="D34" s="124">
        <v>1825000</v>
      </c>
      <c r="E34" s="124">
        <v>1834144</v>
      </c>
      <c r="F34" s="124">
        <v>1825000</v>
      </c>
      <c r="G34" s="124">
        <v>2000924</v>
      </c>
      <c r="H34" s="156">
        <f t="shared" si="8"/>
        <v>175924</v>
      </c>
      <c r="I34" s="309">
        <f t="shared" si="1"/>
        <v>9.639671232876712E-2</v>
      </c>
      <c r="J34" s="753"/>
      <c r="K34" s="156">
        <f t="shared" si="9"/>
        <v>166780</v>
      </c>
      <c r="L34" s="309">
        <f t="shared" si="3"/>
        <v>9.0930701188129182E-2</v>
      </c>
      <c r="M34" s="753"/>
    </row>
    <row r="35" spans="1:13" x14ac:dyDescent="0.3">
      <c r="A35" s="297">
        <v>49230</v>
      </c>
      <c r="B35" s="298" t="s">
        <v>389</v>
      </c>
      <c r="C35" s="124">
        <v>745775</v>
      </c>
      <c r="D35" s="124">
        <v>741000</v>
      </c>
      <c r="E35" s="124">
        <v>745775</v>
      </c>
      <c r="F35" s="124">
        <v>741000</v>
      </c>
      <c r="G35" s="124">
        <v>757468</v>
      </c>
      <c r="H35" s="156">
        <f t="shared" si="8"/>
        <v>16468</v>
      </c>
      <c r="I35" s="309">
        <f t="shared" si="1"/>
        <v>2.2224021592442644E-2</v>
      </c>
      <c r="J35" s="753"/>
      <c r="K35" s="156">
        <f t="shared" si="9"/>
        <v>11693</v>
      </c>
      <c r="L35" s="309">
        <f t="shared" si="3"/>
        <v>1.5678991652978445E-2</v>
      </c>
      <c r="M35" s="753"/>
    </row>
    <row r="36" spans="1:13" x14ac:dyDescent="0.3">
      <c r="A36" s="297">
        <v>49240</v>
      </c>
      <c r="B36" s="298" t="s">
        <v>390</v>
      </c>
      <c r="C36" s="124">
        <v>99477</v>
      </c>
      <c r="D36" s="124">
        <v>516917</v>
      </c>
      <c r="E36" s="124">
        <v>99477</v>
      </c>
      <c r="F36" s="124">
        <v>516917</v>
      </c>
      <c r="G36" s="124">
        <v>1493055</v>
      </c>
      <c r="H36" s="156">
        <f t="shared" si="8"/>
        <v>976138</v>
      </c>
      <c r="I36" s="309">
        <f t="shared" si="1"/>
        <v>1.8883844021380609</v>
      </c>
      <c r="J36" s="753"/>
      <c r="K36" s="156">
        <f t="shared" si="9"/>
        <v>1393578</v>
      </c>
      <c r="L36" s="309">
        <f t="shared" si="3"/>
        <v>14.009047317470371</v>
      </c>
      <c r="M36" s="753"/>
    </row>
    <row r="37" spans="1:13" x14ac:dyDescent="0.3">
      <c r="A37" s="297">
        <v>49250</v>
      </c>
      <c r="B37" s="298" t="s">
        <v>391</v>
      </c>
      <c r="C37" s="124"/>
      <c r="D37" s="124"/>
      <c r="E37" s="124"/>
      <c r="F37" s="124"/>
      <c r="G37" s="124">
        <v>45546</v>
      </c>
      <c r="H37" s="156">
        <f t="shared" si="8"/>
        <v>45546</v>
      </c>
      <c r="I37" s="309" t="str">
        <f t="shared" si="1"/>
        <v>-</v>
      </c>
      <c r="J37" s="753"/>
      <c r="K37" s="156">
        <f t="shared" si="9"/>
        <v>45546</v>
      </c>
      <c r="L37" s="309" t="str">
        <f t="shared" si="3"/>
        <v>-</v>
      </c>
      <c r="M37" s="753"/>
    </row>
    <row r="38" spans="1:13" x14ac:dyDescent="0.3">
      <c r="A38" s="297">
        <v>49260</v>
      </c>
      <c r="B38" s="298" t="s">
        <v>392</v>
      </c>
      <c r="C38" s="124"/>
      <c r="D38" s="124"/>
      <c r="E38" s="124"/>
      <c r="F38" s="124"/>
      <c r="G38" s="124"/>
      <c r="H38" s="156">
        <f t="shared" si="8"/>
        <v>0</v>
      </c>
      <c r="I38" s="309" t="str">
        <f t="shared" si="1"/>
        <v>-</v>
      </c>
      <c r="J38" s="754"/>
      <c r="K38" s="156">
        <f t="shared" si="9"/>
        <v>0</v>
      </c>
      <c r="L38" s="309" t="str">
        <f t="shared" si="3"/>
        <v>-</v>
      </c>
      <c r="M38" s="754"/>
    </row>
    <row r="39" spans="1:13" s="290" customFormat="1" ht="19.5" x14ac:dyDescent="0.3">
      <c r="A39" s="292">
        <v>49300</v>
      </c>
      <c r="B39" s="307" t="s">
        <v>393</v>
      </c>
      <c r="C39" s="294">
        <v>0</v>
      </c>
      <c r="D39" s="294">
        <v>0</v>
      </c>
      <c r="E39" s="294">
        <v>0</v>
      </c>
      <c r="F39" s="294">
        <v>0</v>
      </c>
      <c r="G39" s="294">
        <f t="shared" ref="G39" si="12">G40+G41</f>
        <v>0</v>
      </c>
      <c r="H39" s="295">
        <f t="shared" si="8"/>
        <v>0</v>
      </c>
      <c r="I39" s="296" t="str">
        <f t="shared" si="1"/>
        <v>-</v>
      </c>
      <c r="J39" s="755"/>
      <c r="K39" s="295">
        <f t="shared" si="9"/>
        <v>0</v>
      </c>
      <c r="L39" s="296" t="str">
        <f t="shared" si="3"/>
        <v>-</v>
      </c>
      <c r="M39" s="755"/>
    </row>
    <row r="40" spans="1:13" ht="37.5" x14ac:dyDescent="0.3">
      <c r="A40" s="311">
        <v>49310</v>
      </c>
      <c r="B40" s="298" t="s">
        <v>394</v>
      </c>
      <c r="C40" s="124"/>
      <c r="D40" s="124"/>
      <c r="E40" s="124"/>
      <c r="F40" s="124"/>
      <c r="G40" s="124"/>
      <c r="H40" s="156">
        <f t="shared" si="8"/>
        <v>0</v>
      </c>
      <c r="I40" s="309" t="str">
        <f t="shared" si="1"/>
        <v>-</v>
      </c>
      <c r="J40" s="756"/>
      <c r="K40" s="156">
        <f t="shared" si="9"/>
        <v>0</v>
      </c>
      <c r="L40" s="309" t="str">
        <f t="shared" si="3"/>
        <v>-</v>
      </c>
      <c r="M40" s="756"/>
    </row>
    <row r="41" spans="1:13" ht="37.5" x14ac:dyDescent="0.3">
      <c r="A41" s="311">
        <v>49320</v>
      </c>
      <c r="B41" s="298" t="s">
        <v>395</v>
      </c>
      <c r="C41" s="124"/>
      <c r="D41" s="124"/>
      <c r="E41" s="124"/>
      <c r="F41" s="124"/>
      <c r="G41" s="124"/>
      <c r="H41" s="156">
        <f t="shared" si="8"/>
        <v>0</v>
      </c>
      <c r="I41" s="309" t="str">
        <f t="shared" si="1"/>
        <v>-</v>
      </c>
      <c r="J41" s="757"/>
      <c r="K41" s="156">
        <f t="shared" si="9"/>
        <v>0</v>
      </c>
      <c r="L41" s="309" t="str">
        <f t="shared" si="3"/>
        <v>-</v>
      </c>
      <c r="M41" s="757"/>
    </row>
    <row r="42" spans="1:13" s="290" customFormat="1" ht="19.5" x14ac:dyDescent="0.3">
      <c r="A42" s="292">
        <v>50000</v>
      </c>
      <c r="B42" s="307" t="s">
        <v>396</v>
      </c>
      <c r="C42" s="294">
        <v>3622439</v>
      </c>
      <c r="D42" s="294">
        <v>4279487</v>
      </c>
      <c r="E42" s="294">
        <v>3622439</v>
      </c>
      <c r="F42" s="294">
        <v>4279487</v>
      </c>
      <c r="G42" s="294">
        <f t="shared" ref="G42" si="13">G43+G47+G53</f>
        <v>2948952</v>
      </c>
      <c r="H42" s="295">
        <f t="shared" si="8"/>
        <v>-1330535</v>
      </c>
      <c r="I42" s="296">
        <f t="shared" si="1"/>
        <v>-0.31090992915739668</v>
      </c>
      <c r="J42" s="359"/>
      <c r="K42" s="295">
        <f t="shared" si="9"/>
        <v>-673487</v>
      </c>
      <c r="L42" s="296">
        <f t="shared" si="3"/>
        <v>-0.18592086712847339</v>
      </c>
      <c r="M42" s="359"/>
    </row>
    <row r="43" spans="1:13" s="290" customFormat="1" ht="19.5" x14ac:dyDescent="0.3">
      <c r="A43" s="292">
        <v>50100</v>
      </c>
      <c r="B43" s="307" t="s">
        <v>397</v>
      </c>
      <c r="C43" s="294">
        <v>103836</v>
      </c>
      <c r="D43" s="294">
        <v>103602</v>
      </c>
      <c r="E43" s="294">
        <v>103836</v>
      </c>
      <c r="F43" s="294">
        <v>103602</v>
      </c>
      <c r="G43" s="294">
        <f t="shared" ref="G43" si="14">SUM(G44:G46)</f>
        <v>282732</v>
      </c>
      <c r="H43" s="295">
        <f t="shared" si="8"/>
        <v>179130</v>
      </c>
      <c r="I43" s="296">
        <f t="shared" si="1"/>
        <v>1.7290206752765391</v>
      </c>
      <c r="J43" s="752" t="s">
        <v>891</v>
      </c>
      <c r="K43" s="295">
        <f t="shared" si="9"/>
        <v>178896</v>
      </c>
      <c r="L43" s="296">
        <f t="shared" si="3"/>
        <v>1.7228706806887784</v>
      </c>
      <c r="M43" s="752" t="s">
        <v>892</v>
      </c>
    </row>
    <row r="44" spans="1:13" ht="37.5" x14ac:dyDescent="0.3">
      <c r="A44" s="297">
        <v>50110</v>
      </c>
      <c r="B44" s="298" t="s">
        <v>398</v>
      </c>
      <c r="C44" s="124">
        <v>102234</v>
      </c>
      <c r="D44" s="124">
        <v>102000</v>
      </c>
      <c r="E44" s="124">
        <v>102234</v>
      </c>
      <c r="F44" s="124">
        <v>102000</v>
      </c>
      <c r="G44" s="124">
        <v>271768</v>
      </c>
      <c r="H44" s="156">
        <f t="shared" si="8"/>
        <v>169768</v>
      </c>
      <c r="I44" s="309">
        <f t="shared" si="1"/>
        <v>1.6643921568627451</v>
      </c>
      <c r="J44" s="753"/>
      <c r="K44" s="156">
        <f t="shared" si="9"/>
        <v>169534</v>
      </c>
      <c r="L44" s="309">
        <f t="shared" si="3"/>
        <v>1.6582937183324531</v>
      </c>
      <c r="M44" s="753"/>
    </row>
    <row r="45" spans="1:13" x14ac:dyDescent="0.3">
      <c r="A45" s="297">
        <v>50120</v>
      </c>
      <c r="B45" s="298" t="s">
        <v>399</v>
      </c>
      <c r="C45" s="124"/>
      <c r="D45" s="124"/>
      <c r="E45" s="124"/>
      <c r="F45" s="124"/>
      <c r="G45" s="124"/>
      <c r="H45" s="156">
        <f t="shared" si="8"/>
        <v>0</v>
      </c>
      <c r="I45" s="309" t="str">
        <f t="shared" si="1"/>
        <v>-</v>
      </c>
      <c r="J45" s="753"/>
      <c r="K45" s="156">
        <f t="shared" si="9"/>
        <v>0</v>
      </c>
      <c r="L45" s="309" t="str">
        <f t="shared" si="3"/>
        <v>-</v>
      </c>
      <c r="M45" s="753"/>
    </row>
    <row r="46" spans="1:13" ht="126" customHeight="1" x14ac:dyDescent="0.3">
      <c r="A46" s="297">
        <v>50130</v>
      </c>
      <c r="B46" s="298" t="s">
        <v>400</v>
      </c>
      <c r="C46" s="124">
        <v>1602</v>
      </c>
      <c r="D46" s="124">
        <v>1602</v>
      </c>
      <c r="E46" s="124">
        <v>1602</v>
      </c>
      <c r="F46" s="124">
        <v>1602</v>
      </c>
      <c r="G46" s="124">
        <v>10964</v>
      </c>
      <c r="H46" s="156">
        <f t="shared" si="8"/>
        <v>9362</v>
      </c>
      <c r="I46" s="309">
        <f t="shared" si="1"/>
        <v>5.8439450686641701</v>
      </c>
      <c r="J46" s="754"/>
      <c r="K46" s="156">
        <f t="shared" si="9"/>
        <v>9362</v>
      </c>
      <c r="L46" s="309">
        <f t="shared" si="3"/>
        <v>5.8439450686641701</v>
      </c>
      <c r="M46" s="754"/>
    </row>
    <row r="47" spans="1:13" s="290" customFormat="1" ht="19.5" x14ac:dyDescent="0.3">
      <c r="A47" s="292">
        <v>50200</v>
      </c>
      <c r="B47" s="307" t="s">
        <v>401</v>
      </c>
      <c r="C47" s="294">
        <v>866453</v>
      </c>
      <c r="D47" s="294">
        <v>815395</v>
      </c>
      <c r="E47" s="294">
        <v>866453</v>
      </c>
      <c r="F47" s="294">
        <v>815395</v>
      </c>
      <c r="G47" s="294">
        <f t="shared" ref="G47" si="15">SUM(G48:G52)</f>
        <v>820286</v>
      </c>
      <c r="H47" s="295">
        <f t="shared" si="8"/>
        <v>4891</v>
      </c>
      <c r="I47" s="296">
        <f t="shared" si="1"/>
        <v>5.9983198327191118E-3</v>
      </c>
      <c r="J47" s="749"/>
      <c r="K47" s="295">
        <f t="shared" si="9"/>
        <v>-46167</v>
      </c>
      <c r="L47" s="296">
        <f t="shared" si="3"/>
        <v>-5.3282751632229328E-2</v>
      </c>
      <c r="M47" s="749"/>
    </row>
    <row r="48" spans="1:13" x14ac:dyDescent="0.3">
      <c r="A48" s="297">
        <v>50210</v>
      </c>
      <c r="B48" s="298" t="s">
        <v>402</v>
      </c>
      <c r="C48" s="124">
        <v>851942</v>
      </c>
      <c r="D48" s="124">
        <v>801395</v>
      </c>
      <c r="E48" s="124">
        <v>851942</v>
      </c>
      <c r="F48" s="124">
        <v>801395</v>
      </c>
      <c r="G48" s="124">
        <v>789277</v>
      </c>
      <c r="H48" s="156">
        <f t="shared" si="8"/>
        <v>-12118</v>
      </c>
      <c r="I48" s="309">
        <f t="shared" si="1"/>
        <v>-1.5121132525159254E-2</v>
      </c>
      <c r="J48" s="750"/>
      <c r="K48" s="156">
        <f t="shared" si="9"/>
        <v>-62665</v>
      </c>
      <c r="L48" s="309">
        <f t="shared" si="3"/>
        <v>-7.3555476781283227E-2</v>
      </c>
      <c r="M48" s="750"/>
    </row>
    <row r="49" spans="1:13" x14ac:dyDescent="0.3">
      <c r="A49" s="297">
        <v>50220</v>
      </c>
      <c r="B49" s="298" t="s">
        <v>403</v>
      </c>
      <c r="C49" s="124"/>
      <c r="D49" s="124"/>
      <c r="E49" s="124"/>
      <c r="F49" s="124"/>
      <c r="G49" s="124"/>
      <c r="H49" s="156">
        <f t="shared" si="8"/>
        <v>0</v>
      </c>
      <c r="I49" s="309" t="str">
        <f t="shared" si="1"/>
        <v>-</v>
      </c>
      <c r="J49" s="750"/>
      <c r="K49" s="156">
        <f t="shared" si="9"/>
        <v>0</v>
      </c>
      <c r="L49" s="309" t="str">
        <f t="shared" si="3"/>
        <v>-</v>
      </c>
      <c r="M49" s="750"/>
    </row>
    <row r="50" spans="1:13" x14ac:dyDescent="0.3">
      <c r="A50" s="297">
        <v>50230</v>
      </c>
      <c r="B50" s="298" t="s">
        <v>404</v>
      </c>
      <c r="C50" s="124">
        <v>888</v>
      </c>
      <c r="D50" s="124">
        <v>900</v>
      </c>
      <c r="E50" s="124">
        <v>888</v>
      </c>
      <c r="F50" s="124">
        <v>900</v>
      </c>
      <c r="G50" s="124">
        <v>10429</v>
      </c>
      <c r="H50" s="156">
        <f t="shared" si="8"/>
        <v>9529</v>
      </c>
      <c r="I50" s="309">
        <f t="shared" si="1"/>
        <v>10.587777777777777</v>
      </c>
      <c r="J50" s="750"/>
      <c r="K50" s="156">
        <f t="shared" si="9"/>
        <v>9541</v>
      </c>
      <c r="L50" s="309">
        <f t="shared" si="3"/>
        <v>10.74436936936937</v>
      </c>
      <c r="M50" s="750"/>
    </row>
    <row r="51" spans="1:13" x14ac:dyDescent="0.3">
      <c r="A51" s="297">
        <v>50240</v>
      </c>
      <c r="B51" s="298" t="s">
        <v>405</v>
      </c>
      <c r="C51" s="124">
        <v>13623</v>
      </c>
      <c r="D51" s="124">
        <v>13100</v>
      </c>
      <c r="E51" s="124">
        <v>13623</v>
      </c>
      <c r="F51" s="124">
        <v>13100</v>
      </c>
      <c r="G51" s="124">
        <v>20580</v>
      </c>
      <c r="H51" s="156">
        <f t="shared" si="8"/>
        <v>7480</v>
      </c>
      <c r="I51" s="309">
        <f t="shared" si="1"/>
        <v>0.57099236641221374</v>
      </c>
      <c r="J51" s="750"/>
      <c r="K51" s="156">
        <f t="shared" si="9"/>
        <v>6957</v>
      </c>
      <c r="L51" s="309">
        <f t="shared" si="3"/>
        <v>0.51068046685752033</v>
      </c>
      <c r="M51" s="750"/>
    </row>
    <row r="52" spans="1:13" x14ac:dyDescent="0.3">
      <c r="A52" s="297">
        <v>50250</v>
      </c>
      <c r="B52" s="298" t="s">
        <v>406</v>
      </c>
      <c r="C52" s="124"/>
      <c r="D52" s="124"/>
      <c r="E52" s="124"/>
      <c r="F52" s="124"/>
      <c r="G52" s="124">
        <v>0</v>
      </c>
      <c r="H52" s="156">
        <f t="shared" si="8"/>
        <v>0</v>
      </c>
      <c r="I52" s="309" t="str">
        <f t="shared" si="1"/>
        <v>-</v>
      </c>
      <c r="J52" s="751"/>
      <c r="K52" s="156">
        <f t="shared" si="9"/>
        <v>0</v>
      </c>
      <c r="L52" s="309" t="str">
        <f t="shared" si="3"/>
        <v>-</v>
      </c>
      <c r="M52" s="751"/>
    </row>
    <row r="53" spans="1:13" ht="112.5" x14ac:dyDescent="0.3">
      <c r="A53" s="292">
        <v>50300</v>
      </c>
      <c r="B53" s="307" t="s">
        <v>407</v>
      </c>
      <c r="C53" s="123">
        <v>2652150</v>
      </c>
      <c r="D53" s="123">
        <v>3360490</v>
      </c>
      <c r="E53" s="123">
        <v>2652150</v>
      </c>
      <c r="F53" s="123">
        <v>3360490</v>
      </c>
      <c r="G53" s="123">
        <v>1845934</v>
      </c>
      <c r="H53" s="154">
        <f t="shared" si="8"/>
        <v>-1514556</v>
      </c>
      <c r="I53" s="308">
        <f t="shared" si="1"/>
        <v>-0.45069498793330737</v>
      </c>
      <c r="J53" s="551" t="s">
        <v>893</v>
      </c>
      <c r="K53" s="154">
        <f t="shared" si="9"/>
        <v>-806216</v>
      </c>
      <c r="L53" s="308">
        <f t="shared" si="3"/>
        <v>-0.30398582282299269</v>
      </c>
      <c r="M53" s="552" t="s">
        <v>894</v>
      </c>
    </row>
    <row r="54" spans="1:13" s="290" customFormat="1" ht="37.5" x14ac:dyDescent="0.3">
      <c r="A54" s="292">
        <v>51000</v>
      </c>
      <c r="B54" s="307" t="s">
        <v>408</v>
      </c>
      <c r="C54" s="294">
        <v>14046190</v>
      </c>
      <c r="D54" s="294">
        <v>15167141</v>
      </c>
      <c r="E54" s="294">
        <v>14046190</v>
      </c>
      <c r="F54" s="294">
        <v>15167141</v>
      </c>
      <c r="G54" s="294">
        <f t="shared" ref="G54" si="16">G42+G28</f>
        <v>14881714</v>
      </c>
      <c r="H54" s="295">
        <f t="shared" si="8"/>
        <v>-285427</v>
      </c>
      <c r="I54" s="296">
        <f t="shared" si="1"/>
        <v>-1.8818774085373111E-2</v>
      </c>
      <c r="J54" s="359"/>
      <c r="K54" s="295">
        <f t="shared" si="9"/>
        <v>835524</v>
      </c>
      <c r="L54" s="296">
        <f t="shared" si="3"/>
        <v>5.9484030900906225E-2</v>
      </c>
      <c r="M54" s="359"/>
    </row>
    <row r="55" spans="1:13" x14ac:dyDescent="0.3">
      <c r="A55" s="747"/>
      <c r="B55" s="748"/>
      <c r="C55" s="748"/>
      <c r="D55" s="748"/>
      <c r="E55" s="748"/>
      <c r="F55" s="748"/>
      <c r="G55" s="748"/>
      <c r="H55" s="748"/>
      <c r="I55" s="748"/>
      <c r="J55" s="748"/>
      <c r="K55" s="748"/>
      <c r="L55" s="748"/>
      <c r="M55" s="748"/>
    </row>
    <row r="56" spans="1:13" s="290" customFormat="1" ht="19.5" x14ac:dyDescent="0.3">
      <c r="A56" s="292" t="s">
        <v>310</v>
      </c>
      <c r="B56" s="307" t="s">
        <v>409</v>
      </c>
      <c r="C56" s="294">
        <v>7767745</v>
      </c>
      <c r="D56" s="294">
        <f t="shared" ref="D56:G56" si="17">SUM(D57:D58)</f>
        <v>8491327</v>
      </c>
      <c r="E56" s="294">
        <v>7767745</v>
      </c>
      <c r="F56" s="294">
        <f t="shared" ref="F56" si="18">SUM(F57:F58)</f>
        <v>8491327</v>
      </c>
      <c r="G56" s="294">
        <f t="shared" si="17"/>
        <v>8046947</v>
      </c>
      <c r="H56" s="295">
        <f t="shared" ref="H56:H58" si="19">G56-F56</f>
        <v>-444380</v>
      </c>
      <c r="I56" s="296">
        <f t="shared" si="1"/>
        <v>-5.2333398537119109E-2</v>
      </c>
      <c r="J56" s="359"/>
      <c r="K56" s="295">
        <f t="shared" ref="K56:K58" si="20">G56-E56</f>
        <v>279202</v>
      </c>
      <c r="L56" s="296">
        <f t="shared" si="3"/>
        <v>3.5943764889295411E-2</v>
      </c>
      <c r="M56" s="359"/>
    </row>
    <row r="57" spans="1:13" s="290" customFormat="1" ht="19.5" x14ac:dyDescent="0.3">
      <c r="A57" s="292">
        <v>21000</v>
      </c>
      <c r="B57" s="312" t="s">
        <v>410</v>
      </c>
      <c r="C57" s="294">
        <v>5859113</v>
      </c>
      <c r="D57" s="294">
        <f t="shared" ref="D57:G57" si="21">D11</f>
        <v>6106998</v>
      </c>
      <c r="E57" s="294">
        <v>5859113</v>
      </c>
      <c r="F57" s="294">
        <f t="shared" ref="F57" si="22">F11</f>
        <v>6106998</v>
      </c>
      <c r="G57" s="294">
        <f t="shared" si="21"/>
        <v>6075250</v>
      </c>
      <c r="H57" s="295">
        <f t="shared" si="19"/>
        <v>-31748</v>
      </c>
      <c r="I57" s="296">
        <f t="shared" si="1"/>
        <v>-5.1986262317426663E-3</v>
      </c>
      <c r="J57" s="359"/>
      <c r="K57" s="295">
        <f t="shared" si="20"/>
        <v>216137</v>
      </c>
      <c r="L57" s="296">
        <f t="shared" si="3"/>
        <v>3.6889030814049838E-2</v>
      </c>
      <c r="M57" s="359"/>
    </row>
    <row r="58" spans="1:13" s="290" customFormat="1" ht="19.5" x14ac:dyDescent="0.3">
      <c r="A58" s="292">
        <v>22000</v>
      </c>
      <c r="B58" s="313" t="s">
        <v>411</v>
      </c>
      <c r="C58" s="294">
        <v>1908632</v>
      </c>
      <c r="D58" s="294">
        <f t="shared" ref="D58:G58" si="23">D17</f>
        <v>2384329</v>
      </c>
      <c r="E58" s="294">
        <v>1908632</v>
      </c>
      <c r="F58" s="294">
        <f t="shared" ref="F58" si="24">F17</f>
        <v>2384329</v>
      </c>
      <c r="G58" s="294">
        <f t="shared" si="23"/>
        <v>1971697</v>
      </c>
      <c r="H58" s="295">
        <f t="shared" si="19"/>
        <v>-412632</v>
      </c>
      <c r="I58" s="296">
        <f t="shared" si="1"/>
        <v>-0.17306000975536515</v>
      </c>
      <c r="J58" s="359"/>
      <c r="K58" s="295">
        <f t="shared" si="20"/>
        <v>63065</v>
      </c>
      <c r="L58" s="296">
        <f t="shared" si="3"/>
        <v>3.3041990284140683E-2</v>
      </c>
      <c r="M58" s="359"/>
    </row>
    <row r="59" spans="1:13" s="290" customFormat="1" ht="19.5" x14ac:dyDescent="0.3">
      <c r="A59" s="314"/>
      <c r="B59" s="315"/>
      <c r="C59" s="316"/>
      <c r="D59" s="316"/>
      <c r="E59" s="316"/>
      <c r="F59" s="316"/>
      <c r="G59" s="316"/>
      <c r="H59" s="317"/>
      <c r="I59" s="318"/>
      <c r="J59" s="360"/>
      <c r="K59" s="317"/>
      <c r="L59" s="318"/>
      <c r="M59" s="360"/>
    </row>
    <row r="60" spans="1:13" x14ac:dyDescent="0.3">
      <c r="A60" s="290" t="s">
        <v>583</v>
      </c>
    </row>
    <row r="61" spans="1:13" ht="22.5" x14ac:dyDescent="0.3">
      <c r="A61" s="319" t="s">
        <v>647</v>
      </c>
    </row>
    <row r="62" spans="1:13" x14ac:dyDescent="0.3">
      <c r="A62" s="232" t="s">
        <v>646</v>
      </c>
    </row>
  </sheetData>
  <sheetProtection formatCells="0" formatColumns="0" formatRows="0"/>
  <mergeCells count="16">
    <mergeCell ref="A55:M55"/>
    <mergeCell ref="J11:J16"/>
    <mergeCell ref="J17:J25"/>
    <mergeCell ref="J29:J31"/>
    <mergeCell ref="J32:J38"/>
    <mergeCell ref="J39:J41"/>
    <mergeCell ref="J43:J46"/>
    <mergeCell ref="J47:J52"/>
    <mergeCell ref="M11:M16"/>
    <mergeCell ref="M47:M52"/>
    <mergeCell ref="M17:M25"/>
    <mergeCell ref="M29:M31"/>
    <mergeCell ref="M32:M38"/>
    <mergeCell ref="M39:M41"/>
    <mergeCell ref="M43:M46"/>
    <mergeCell ref="A27:M27"/>
  </mergeCells>
  <pageMargins left="0.70866141732283472" right="0.70866141732283472" top="0.74803149606299213" bottom="0.74803149606299213" header="0.31496062992125984" footer="0.31496062992125984"/>
  <pageSetup paperSize="9" scale="41" fitToWidth="0" orientation="portrait" r:id="rId1"/>
  <headerFooter>
    <oddHeader>&amp;C&amp;"Times New Roman,Bold"&amp;14
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4">
    <tabColor rgb="FF00B0F0"/>
  </sheetPr>
  <dimension ref="A1:N158"/>
  <sheetViews>
    <sheetView topLeftCell="A70" zoomScale="80" zoomScaleNormal="80" zoomScalePageLayoutView="40" workbookViewId="0">
      <selection activeCell="J44" sqref="J44"/>
    </sheetView>
  </sheetViews>
  <sheetFormatPr defaultRowHeight="18.75" x14ac:dyDescent="0.2"/>
  <cols>
    <col min="1" max="1" width="8.42578125" style="64" bestFit="1" customWidth="1"/>
    <col min="2" max="2" width="47.5703125" style="27" customWidth="1"/>
    <col min="3" max="3" width="18.28515625" style="27" hidden="1" customWidth="1"/>
    <col min="4" max="4" width="20.85546875" style="65" hidden="1" customWidth="1"/>
    <col min="5" max="5" width="20.85546875" style="27" customWidth="1"/>
    <col min="6" max="6" width="21.42578125" style="42" customWidth="1"/>
    <col min="7" max="7" width="20.85546875" style="27" customWidth="1"/>
    <col min="8" max="8" width="18.7109375" style="112" customWidth="1"/>
    <col min="9" max="9" width="21.5703125" style="112" customWidth="1"/>
    <col min="10" max="10" width="37.28515625" style="42" customWidth="1"/>
    <col min="11" max="11" width="21.140625" style="112" customWidth="1"/>
    <col min="12" max="12" width="21.85546875" style="112" customWidth="1"/>
    <col min="13" max="13" width="41.85546875" style="42" customWidth="1"/>
    <col min="14" max="16384" width="9.140625" style="27"/>
  </cols>
  <sheetData>
    <row r="1" spans="1:13" ht="93.75" x14ac:dyDescent="0.2">
      <c r="A1" s="13" t="s">
        <v>0</v>
      </c>
      <c r="B1" s="12" t="s">
        <v>466</v>
      </c>
      <c r="C1" s="1" t="s">
        <v>654</v>
      </c>
      <c r="D1" s="1" t="s">
        <v>655</v>
      </c>
      <c r="E1" s="1" t="s">
        <v>795</v>
      </c>
      <c r="F1" s="1" t="s">
        <v>796</v>
      </c>
      <c r="G1" s="1" t="s">
        <v>798</v>
      </c>
      <c r="H1" s="18" t="s">
        <v>660</v>
      </c>
      <c r="I1" s="18" t="s">
        <v>659</v>
      </c>
      <c r="J1" s="1" t="s">
        <v>645</v>
      </c>
      <c r="K1" s="18" t="s">
        <v>661</v>
      </c>
      <c r="L1" s="18" t="s">
        <v>658</v>
      </c>
      <c r="M1" s="1" t="s">
        <v>645</v>
      </c>
    </row>
    <row r="2" spans="1:13" x14ac:dyDescent="0.2">
      <c r="A2" s="19">
        <v>1</v>
      </c>
      <c r="B2" s="1">
        <v>2</v>
      </c>
      <c r="C2" s="1">
        <v>3</v>
      </c>
      <c r="D2" s="1">
        <v>4</v>
      </c>
      <c r="E2" s="1">
        <v>5</v>
      </c>
      <c r="F2" s="1">
        <v>6</v>
      </c>
      <c r="G2" s="1">
        <v>7</v>
      </c>
      <c r="H2" s="18">
        <v>8</v>
      </c>
      <c r="I2" s="22">
        <v>9</v>
      </c>
      <c r="J2" s="1">
        <v>10</v>
      </c>
      <c r="K2" s="23">
        <v>11</v>
      </c>
      <c r="L2" s="22">
        <v>12</v>
      </c>
      <c r="M2" s="1">
        <v>13</v>
      </c>
    </row>
    <row r="3" spans="1:13" ht="37.5" x14ac:dyDescent="0.2">
      <c r="A3" s="28">
        <v>10000</v>
      </c>
      <c r="B3" s="11" t="s">
        <v>182</v>
      </c>
      <c r="C3" s="125">
        <v>577854</v>
      </c>
      <c r="D3" s="32">
        <f ca="1">C133</f>
        <v>2652150</v>
      </c>
      <c r="E3" s="126">
        <v>577853.79</v>
      </c>
      <c r="F3" s="126">
        <f ca="1">D3</f>
        <v>2652150</v>
      </c>
      <c r="G3" s="126">
        <f ca="1">D3</f>
        <v>2652150</v>
      </c>
      <c r="H3" s="82">
        <f ca="1">G3-F3</f>
        <v>0</v>
      </c>
      <c r="I3" s="153">
        <f ca="1">IFERROR(H3/ABS(F3), "-")</f>
        <v>0</v>
      </c>
      <c r="J3" s="180"/>
      <c r="K3" s="82">
        <f ca="1">G3-E3</f>
        <v>2074296.21</v>
      </c>
      <c r="L3" s="153">
        <f ca="1">IFERROR(K3/ABS(E3), "-")</f>
        <v>3.589655802032552</v>
      </c>
      <c r="M3" s="180"/>
    </row>
    <row r="4" spans="1:13" x14ac:dyDescent="0.2">
      <c r="A4" s="62" t="s">
        <v>191</v>
      </c>
      <c r="B4" s="760" t="s">
        <v>183</v>
      </c>
      <c r="C4" s="760"/>
      <c r="D4" s="760"/>
      <c r="E4" s="760"/>
      <c r="F4" s="760"/>
      <c r="G4" s="760"/>
      <c r="H4" s="760"/>
      <c r="J4" s="173"/>
      <c r="L4" s="162"/>
      <c r="M4" s="173"/>
    </row>
    <row r="5" spans="1:13" ht="19.5" x14ac:dyDescent="0.2">
      <c r="A5" s="29">
        <v>11000</v>
      </c>
      <c r="B5" s="11" t="s">
        <v>184</v>
      </c>
      <c r="C5" s="32">
        <v>19705900</v>
      </c>
      <c r="D5" s="32">
        <f t="shared" ref="D5:G5" si="0">D6+D24+D27+D31+D32+D33</f>
        <v>19622629</v>
      </c>
      <c r="E5" s="32">
        <v>19705900</v>
      </c>
      <c r="F5" s="32">
        <f t="shared" ref="F5" si="1">F6+F24+F27+F31+F32+F33</f>
        <v>19622629</v>
      </c>
      <c r="G5" s="32">
        <f t="shared" si="0"/>
        <v>19151328.189999998</v>
      </c>
      <c r="H5" s="95">
        <f t="shared" ref="H5:H45" si="2">G5-F5</f>
        <v>-471300.81000000238</v>
      </c>
      <c r="I5" s="141">
        <f t="shared" ref="I5:I68" si="3">IFERROR(H5/ABS(F5), "-")</f>
        <v>-2.4018229667390766E-2</v>
      </c>
      <c r="J5" s="181"/>
      <c r="K5" s="95">
        <f t="shared" ref="K5:K68" si="4">G5-E5</f>
        <v>-554571.81000000238</v>
      </c>
      <c r="L5" s="141">
        <f t="shared" ref="L5:L68" si="5">IFERROR(K5/ABS(E5), "-")</f>
        <v>-2.8142424857530098E-2</v>
      </c>
      <c r="M5" s="181"/>
    </row>
    <row r="6" spans="1:13" ht="19.5" x14ac:dyDescent="0.2">
      <c r="A6" s="30">
        <v>11100</v>
      </c>
      <c r="B6" s="31" t="s">
        <v>185</v>
      </c>
      <c r="C6" s="32">
        <v>15903914</v>
      </c>
      <c r="D6" s="32">
        <f t="shared" ref="D6:G6" si="6">D7+D12+D15+D18+D23</f>
        <v>17099462</v>
      </c>
      <c r="E6" s="32">
        <v>15903914</v>
      </c>
      <c r="F6" s="32">
        <f t="shared" ref="F6" si="7">F7+F12+F15+F18+F23</f>
        <v>17099462</v>
      </c>
      <c r="G6" s="32">
        <f t="shared" si="6"/>
        <v>17057317.009999998</v>
      </c>
      <c r="H6" s="95">
        <f t="shared" si="2"/>
        <v>-42144.990000002086</v>
      </c>
      <c r="I6" s="141">
        <f t="shared" si="3"/>
        <v>-2.4646968425089681E-3</v>
      </c>
      <c r="J6" s="181"/>
      <c r="K6" s="95">
        <f t="shared" si="4"/>
        <v>1153403.0099999979</v>
      </c>
      <c r="L6" s="141">
        <f t="shared" si="5"/>
        <v>7.2523217240736959E-2</v>
      </c>
      <c r="M6" s="181"/>
    </row>
    <row r="7" spans="1:13" s="33" customFormat="1" ht="37.5" x14ac:dyDescent="0.2">
      <c r="A7" s="30">
        <v>11110</v>
      </c>
      <c r="B7" s="31" t="s">
        <v>120</v>
      </c>
      <c r="C7" s="32">
        <v>15470286</v>
      </c>
      <c r="D7" s="32">
        <f t="shared" ref="D7:G7" si="8">SUM(D8:D11)</f>
        <v>16584772</v>
      </c>
      <c r="E7" s="32">
        <v>15470286</v>
      </c>
      <c r="F7" s="32">
        <f t="shared" ref="F7" si="9">SUM(F8:F11)</f>
        <v>16584772</v>
      </c>
      <c r="G7" s="32">
        <f t="shared" si="8"/>
        <v>16439008.459999999</v>
      </c>
      <c r="H7" s="95">
        <f t="shared" si="2"/>
        <v>-145763.54000000097</v>
      </c>
      <c r="I7" s="141">
        <f>IFERROR(H7/ABS(F7), "-")</f>
        <v>-8.7889987272662517E-3</v>
      </c>
      <c r="J7" s="762"/>
      <c r="K7" s="95">
        <f t="shared" si="4"/>
        <v>968722.45999999903</v>
      </c>
      <c r="L7" s="141">
        <f>IFERROR(K7/ABS(E7), "-")</f>
        <v>6.2618264458717765E-2</v>
      </c>
      <c r="M7" s="774" t="s">
        <v>715</v>
      </c>
    </row>
    <row r="8" spans="1:13" x14ac:dyDescent="0.2">
      <c r="A8" s="63">
        <v>11111</v>
      </c>
      <c r="B8" s="4" t="s">
        <v>4</v>
      </c>
      <c r="C8" s="15">
        <v>14121129</v>
      </c>
      <c r="D8" s="15">
        <v>15217293</v>
      </c>
      <c r="E8" s="15">
        <v>14121129</v>
      </c>
      <c r="F8" s="16">
        <v>15217293</v>
      </c>
      <c r="G8" s="15">
        <v>15213629.609999999</v>
      </c>
      <c r="H8" s="147">
        <f t="shared" si="2"/>
        <v>-3663.390000000596</v>
      </c>
      <c r="I8" s="148">
        <f t="shared" si="3"/>
        <v>-2.4073861231433186E-4</v>
      </c>
      <c r="J8" s="763"/>
      <c r="K8" s="147">
        <f t="shared" si="4"/>
        <v>1092500.6099999994</v>
      </c>
      <c r="L8" s="148">
        <f t="shared" si="5"/>
        <v>7.7366378424841203E-2</v>
      </c>
      <c r="M8" s="775"/>
    </row>
    <row r="9" spans="1:13" ht="37.5" x14ac:dyDescent="0.2">
      <c r="A9" s="63">
        <v>11112</v>
      </c>
      <c r="B9" s="4" t="s">
        <v>5</v>
      </c>
      <c r="C9" s="15">
        <v>140587</v>
      </c>
      <c r="D9" s="15">
        <v>60635</v>
      </c>
      <c r="E9" s="15">
        <v>140587</v>
      </c>
      <c r="F9" s="16">
        <v>60635</v>
      </c>
      <c r="G9" s="15">
        <f>40326.56</f>
        <v>40326.559999999998</v>
      </c>
      <c r="H9" s="147">
        <f t="shared" si="2"/>
        <v>-20308.440000000002</v>
      </c>
      <c r="I9" s="148">
        <f t="shared" si="3"/>
        <v>-0.33492933124433089</v>
      </c>
      <c r="J9" s="763"/>
      <c r="K9" s="147">
        <f t="shared" si="4"/>
        <v>-100260.44</v>
      </c>
      <c r="L9" s="148">
        <f t="shared" si="5"/>
        <v>-0.71315583944461436</v>
      </c>
      <c r="M9" s="775"/>
    </row>
    <row r="10" spans="1:13" x14ac:dyDescent="0.2">
      <c r="A10" s="63">
        <v>11113</v>
      </c>
      <c r="B10" s="4" t="s">
        <v>6</v>
      </c>
      <c r="C10" s="15">
        <v>1194487</v>
      </c>
      <c r="D10" s="15">
        <v>1281661</v>
      </c>
      <c r="E10" s="15">
        <v>1194487</v>
      </c>
      <c r="F10" s="16">
        <v>1281661</v>
      </c>
      <c r="G10" s="15">
        <f>1177887.12</f>
        <v>1177887.1200000001</v>
      </c>
      <c r="H10" s="147">
        <f t="shared" si="2"/>
        <v>-103773.87999999989</v>
      </c>
      <c r="I10" s="148">
        <f t="shared" si="3"/>
        <v>-8.0968274762203016E-2</v>
      </c>
      <c r="J10" s="763"/>
      <c r="K10" s="147">
        <f t="shared" si="4"/>
        <v>-16599.879999999888</v>
      </c>
      <c r="L10" s="148">
        <f t="shared" si="5"/>
        <v>-1.3897078829656488E-2</v>
      </c>
      <c r="M10" s="775"/>
    </row>
    <row r="11" spans="1:13" ht="37.5" x14ac:dyDescent="0.2">
      <c r="A11" s="63">
        <v>11114</v>
      </c>
      <c r="B11" s="4" t="s">
        <v>301</v>
      </c>
      <c r="C11" s="15">
        <v>14083</v>
      </c>
      <c r="D11" s="15">
        <v>25183</v>
      </c>
      <c r="E11" s="15">
        <v>14083</v>
      </c>
      <c r="F11" s="16">
        <v>25183</v>
      </c>
      <c r="G11" s="15">
        <v>7165.17</v>
      </c>
      <c r="H11" s="147">
        <f t="shared" si="2"/>
        <v>-18017.830000000002</v>
      </c>
      <c r="I11" s="148">
        <f t="shared" si="3"/>
        <v>-0.71547591629273721</v>
      </c>
      <c r="J11" s="764"/>
      <c r="K11" s="147">
        <f t="shared" si="4"/>
        <v>-6917.83</v>
      </c>
      <c r="L11" s="148">
        <f t="shared" si="5"/>
        <v>-0.49121849037847048</v>
      </c>
      <c r="M11" s="776"/>
    </row>
    <row r="12" spans="1:13" s="34" customFormat="1" ht="37.5" x14ac:dyDescent="0.2">
      <c r="A12" s="30">
        <v>11120</v>
      </c>
      <c r="B12" s="3" t="s">
        <v>126</v>
      </c>
      <c r="C12" s="32">
        <v>0</v>
      </c>
      <c r="D12" s="32">
        <v>0</v>
      </c>
      <c r="E12" s="32">
        <v>0</v>
      </c>
      <c r="F12" s="32">
        <v>0</v>
      </c>
      <c r="G12" s="32">
        <f t="shared" ref="G12" si="10">SUM(G13:G14)</f>
        <v>0</v>
      </c>
      <c r="H12" s="95">
        <f t="shared" si="2"/>
        <v>0</v>
      </c>
      <c r="I12" s="141" t="str">
        <f t="shared" si="3"/>
        <v>-</v>
      </c>
      <c r="J12" s="777"/>
      <c r="K12" s="95">
        <f t="shared" si="4"/>
        <v>0</v>
      </c>
      <c r="L12" s="141" t="str">
        <f t="shared" si="5"/>
        <v>-</v>
      </c>
      <c r="M12" s="777"/>
    </row>
    <row r="13" spans="1:13" x14ac:dyDescent="0.2">
      <c r="A13" s="63">
        <v>11121</v>
      </c>
      <c r="B13" s="4" t="s">
        <v>128</v>
      </c>
      <c r="C13" s="15"/>
      <c r="D13" s="15"/>
      <c r="E13" s="15"/>
      <c r="F13" s="16"/>
      <c r="G13" s="15"/>
      <c r="H13" s="147">
        <f t="shared" si="2"/>
        <v>0</v>
      </c>
      <c r="I13" s="148" t="str">
        <f t="shared" si="3"/>
        <v>-</v>
      </c>
      <c r="J13" s="778"/>
      <c r="K13" s="147">
        <f t="shared" si="4"/>
        <v>0</v>
      </c>
      <c r="L13" s="148" t="str">
        <f t="shared" si="5"/>
        <v>-</v>
      </c>
      <c r="M13" s="778"/>
    </row>
    <row r="14" spans="1:13" x14ac:dyDescent="0.2">
      <c r="A14" s="63">
        <v>11122</v>
      </c>
      <c r="B14" s="4" t="s">
        <v>130</v>
      </c>
      <c r="C14" s="15"/>
      <c r="D14" s="15"/>
      <c r="E14" s="15"/>
      <c r="F14" s="16"/>
      <c r="G14" s="15"/>
      <c r="H14" s="147">
        <f t="shared" si="2"/>
        <v>0</v>
      </c>
      <c r="I14" s="148" t="str">
        <f t="shared" si="3"/>
        <v>-</v>
      </c>
      <c r="J14" s="779"/>
      <c r="K14" s="147">
        <f t="shared" si="4"/>
        <v>0</v>
      </c>
      <c r="L14" s="148" t="str">
        <f t="shared" si="5"/>
        <v>-</v>
      </c>
      <c r="M14" s="779"/>
    </row>
    <row r="15" spans="1:13" s="34" customFormat="1" ht="37.5" x14ac:dyDescent="0.2">
      <c r="A15" s="30">
        <v>11130</v>
      </c>
      <c r="B15" s="3" t="s">
        <v>132</v>
      </c>
      <c r="C15" s="32">
        <v>433628</v>
      </c>
      <c r="D15" s="32">
        <v>514690</v>
      </c>
      <c r="E15" s="32">
        <v>433628</v>
      </c>
      <c r="F15" s="32">
        <v>514690</v>
      </c>
      <c r="G15" s="32">
        <f t="shared" ref="G15" si="11">SUM(G16:G17)</f>
        <v>618308.54999999993</v>
      </c>
      <c r="H15" s="95">
        <f t="shared" si="2"/>
        <v>103618.54999999993</v>
      </c>
      <c r="I15" s="141">
        <f t="shared" si="3"/>
        <v>0.20132225222949723</v>
      </c>
      <c r="J15" s="774" t="s">
        <v>709</v>
      </c>
      <c r="K15" s="95">
        <f t="shared" si="4"/>
        <v>184680.54999999993</v>
      </c>
      <c r="L15" s="141">
        <f t="shared" si="5"/>
        <v>0.4258962751482836</v>
      </c>
      <c r="M15" s="774" t="s">
        <v>709</v>
      </c>
    </row>
    <row r="16" spans="1:13" x14ac:dyDescent="0.2">
      <c r="A16" s="63">
        <v>11131</v>
      </c>
      <c r="B16" s="4" t="s">
        <v>134</v>
      </c>
      <c r="C16" s="15">
        <v>433628</v>
      </c>
      <c r="D16" s="15">
        <v>514690</v>
      </c>
      <c r="E16" s="15">
        <v>433628</v>
      </c>
      <c r="F16" s="16">
        <v>514690</v>
      </c>
      <c r="G16" s="15">
        <f>1575.46+615120.9+1612.19</f>
        <v>618308.54999999993</v>
      </c>
      <c r="H16" s="147">
        <f t="shared" si="2"/>
        <v>103618.54999999993</v>
      </c>
      <c r="I16" s="148">
        <f t="shared" si="3"/>
        <v>0.20132225222949723</v>
      </c>
      <c r="J16" s="775"/>
      <c r="K16" s="147">
        <f t="shared" si="4"/>
        <v>184680.54999999993</v>
      </c>
      <c r="L16" s="148">
        <f t="shared" si="5"/>
        <v>0.4258962751482836</v>
      </c>
      <c r="M16" s="775"/>
    </row>
    <row r="17" spans="1:13" ht="66.75" customHeight="1" x14ac:dyDescent="0.2">
      <c r="A17" s="63">
        <v>11132</v>
      </c>
      <c r="B17" s="4" t="s">
        <v>10</v>
      </c>
      <c r="C17" s="15"/>
      <c r="D17" s="15"/>
      <c r="E17" s="15"/>
      <c r="F17" s="16"/>
      <c r="G17" s="15"/>
      <c r="H17" s="147">
        <f t="shared" si="2"/>
        <v>0</v>
      </c>
      <c r="I17" s="148" t="str">
        <f t="shared" si="3"/>
        <v>-</v>
      </c>
      <c r="J17" s="776"/>
      <c r="K17" s="147">
        <f t="shared" si="4"/>
        <v>0</v>
      </c>
      <c r="L17" s="148" t="str">
        <f t="shared" si="5"/>
        <v>-</v>
      </c>
      <c r="M17" s="776"/>
    </row>
    <row r="18" spans="1:13" s="34" customFormat="1" ht="19.5" x14ac:dyDescent="0.2">
      <c r="A18" s="30">
        <v>11140</v>
      </c>
      <c r="B18" s="3" t="s">
        <v>107</v>
      </c>
      <c r="C18" s="32">
        <v>0</v>
      </c>
      <c r="D18" s="32">
        <v>0</v>
      </c>
      <c r="E18" s="32">
        <v>0</v>
      </c>
      <c r="F18" s="32">
        <v>0</v>
      </c>
      <c r="G18" s="32">
        <f t="shared" ref="G18" si="12">SUM(G19:G22)</f>
        <v>0</v>
      </c>
      <c r="H18" s="95">
        <f t="shared" si="2"/>
        <v>0</v>
      </c>
      <c r="I18" s="141" t="str">
        <f t="shared" si="3"/>
        <v>-</v>
      </c>
      <c r="J18" s="777"/>
      <c r="K18" s="95">
        <f t="shared" si="4"/>
        <v>0</v>
      </c>
      <c r="L18" s="141" t="str">
        <f t="shared" si="5"/>
        <v>-</v>
      </c>
      <c r="M18" s="777"/>
    </row>
    <row r="19" spans="1:13" ht="37.5" x14ac:dyDescent="0.2">
      <c r="A19" s="63">
        <v>11141</v>
      </c>
      <c r="B19" s="4" t="s">
        <v>8</v>
      </c>
      <c r="C19" s="15"/>
      <c r="D19" s="15"/>
      <c r="E19" s="15"/>
      <c r="F19" s="16"/>
      <c r="G19" s="15"/>
      <c r="H19" s="147">
        <f t="shared" si="2"/>
        <v>0</v>
      </c>
      <c r="I19" s="148" t="str">
        <f t="shared" si="3"/>
        <v>-</v>
      </c>
      <c r="J19" s="778"/>
      <c r="K19" s="147">
        <f t="shared" si="4"/>
        <v>0</v>
      </c>
      <c r="L19" s="148" t="str">
        <f t="shared" si="5"/>
        <v>-</v>
      </c>
      <c r="M19" s="778"/>
    </row>
    <row r="20" spans="1:13" ht="37.5" x14ac:dyDescent="0.2">
      <c r="A20" s="63">
        <v>11142</v>
      </c>
      <c r="B20" s="4" t="s">
        <v>467</v>
      </c>
      <c r="C20" s="15"/>
      <c r="D20" s="15"/>
      <c r="E20" s="15"/>
      <c r="F20" s="16"/>
      <c r="G20" s="15"/>
      <c r="H20" s="147">
        <f t="shared" si="2"/>
        <v>0</v>
      </c>
      <c r="I20" s="148" t="str">
        <f t="shared" si="3"/>
        <v>-</v>
      </c>
      <c r="J20" s="778"/>
      <c r="K20" s="147">
        <f t="shared" si="4"/>
        <v>0</v>
      </c>
      <c r="L20" s="148" t="str">
        <f t="shared" si="5"/>
        <v>-</v>
      </c>
      <c r="M20" s="778"/>
    </row>
    <row r="21" spans="1:13" ht="56.25" x14ac:dyDescent="0.2">
      <c r="A21" s="63">
        <v>11143</v>
      </c>
      <c r="B21" s="4" t="s">
        <v>11</v>
      </c>
      <c r="C21" s="15"/>
      <c r="D21" s="15"/>
      <c r="E21" s="15"/>
      <c r="F21" s="16"/>
      <c r="G21" s="15"/>
      <c r="H21" s="147">
        <f t="shared" si="2"/>
        <v>0</v>
      </c>
      <c r="I21" s="148" t="str">
        <f t="shared" si="3"/>
        <v>-</v>
      </c>
      <c r="J21" s="778"/>
      <c r="K21" s="147">
        <f t="shared" si="4"/>
        <v>0</v>
      </c>
      <c r="L21" s="148" t="str">
        <f t="shared" si="5"/>
        <v>-</v>
      </c>
      <c r="M21" s="778"/>
    </row>
    <row r="22" spans="1:13" x14ac:dyDescent="0.2">
      <c r="A22" s="63">
        <v>11144</v>
      </c>
      <c r="B22" s="4" t="s">
        <v>12</v>
      </c>
      <c r="C22" s="15"/>
      <c r="D22" s="15"/>
      <c r="E22" s="15"/>
      <c r="F22" s="16"/>
      <c r="G22" s="15"/>
      <c r="H22" s="147">
        <f t="shared" si="2"/>
        <v>0</v>
      </c>
      <c r="I22" s="148" t="str">
        <f t="shared" si="3"/>
        <v>-</v>
      </c>
      <c r="J22" s="779"/>
      <c r="K22" s="147">
        <f t="shared" si="4"/>
        <v>0</v>
      </c>
      <c r="L22" s="148" t="str">
        <f t="shared" si="5"/>
        <v>-</v>
      </c>
      <c r="M22" s="779"/>
    </row>
    <row r="23" spans="1:13" ht="37.5" x14ac:dyDescent="0.2">
      <c r="A23" s="30">
        <v>11150</v>
      </c>
      <c r="B23" s="3" t="s">
        <v>413</v>
      </c>
      <c r="C23" s="125"/>
      <c r="D23" s="125"/>
      <c r="E23" s="125"/>
      <c r="F23" s="125"/>
      <c r="G23" s="125"/>
      <c r="H23" s="158">
        <f t="shared" si="2"/>
        <v>0</v>
      </c>
      <c r="I23" s="155" t="str">
        <f t="shared" si="3"/>
        <v>-</v>
      </c>
      <c r="J23" s="172"/>
      <c r="K23" s="158">
        <f t="shared" si="4"/>
        <v>0</v>
      </c>
      <c r="L23" s="155" t="str">
        <f t="shared" si="5"/>
        <v>-</v>
      </c>
      <c r="M23" s="172"/>
    </row>
    <row r="24" spans="1:13" ht="19.5" x14ac:dyDescent="0.2">
      <c r="A24" s="30">
        <v>11200</v>
      </c>
      <c r="B24" s="3" t="s">
        <v>13</v>
      </c>
      <c r="C24" s="126">
        <v>0</v>
      </c>
      <c r="D24" s="126">
        <v>0</v>
      </c>
      <c r="E24" s="126">
        <v>0</v>
      </c>
      <c r="F24" s="126">
        <v>0</v>
      </c>
      <c r="G24" s="126">
        <f>G25+G26</f>
        <v>0</v>
      </c>
      <c r="H24" s="82">
        <f t="shared" si="2"/>
        <v>0</v>
      </c>
      <c r="I24" s="153" t="str">
        <f t="shared" si="3"/>
        <v>-</v>
      </c>
      <c r="J24" s="780"/>
      <c r="K24" s="82">
        <f t="shared" si="4"/>
        <v>0</v>
      </c>
      <c r="L24" s="153" t="str">
        <f t="shared" si="5"/>
        <v>-</v>
      </c>
      <c r="M24" s="780"/>
    </row>
    <row r="25" spans="1:13" x14ac:dyDescent="0.2">
      <c r="A25" s="49">
        <v>11210</v>
      </c>
      <c r="B25" s="20" t="s">
        <v>415</v>
      </c>
      <c r="C25" s="16"/>
      <c r="D25" s="16"/>
      <c r="E25" s="16"/>
      <c r="F25" s="16"/>
      <c r="G25" s="16"/>
      <c r="H25" s="145">
        <f t="shared" si="2"/>
        <v>0</v>
      </c>
      <c r="I25" s="146" t="str">
        <f t="shared" si="3"/>
        <v>-</v>
      </c>
      <c r="J25" s="781"/>
      <c r="K25" s="145">
        <f t="shared" si="4"/>
        <v>0</v>
      </c>
      <c r="L25" s="146" t="str">
        <f t="shared" si="5"/>
        <v>-</v>
      </c>
      <c r="M25" s="781"/>
    </row>
    <row r="26" spans="1:13" x14ac:dyDescent="0.2">
      <c r="A26" s="49">
        <v>11220</v>
      </c>
      <c r="B26" s="20" t="s">
        <v>416</v>
      </c>
      <c r="C26" s="16"/>
      <c r="D26" s="16"/>
      <c r="E26" s="16"/>
      <c r="F26" s="16"/>
      <c r="G26" s="16"/>
      <c r="H26" s="145">
        <f t="shared" si="2"/>
        <v>0</v>
      </c>
      <c r="I26" s="146" t="str">
        <f t="shared" si="3"/>
        <v>-</v>
      </c>
      <c r="J26" s="782"/>
      <c r="K26" s="145">
        <f t="shared" si="4"/>
        <v>0</v>
      </c>
      <c r="L26" s="146" t="str">
        <f t="shared" si="5"/>
        <v>-</v>
      </c>
      <c r="M26" s="782"/>
    </row>
    <row r="27" spans="1:13" ht="19.5" x14ac:dyDescent="0.2">
      <c r="A27" s="30">
        <v>11300</v>
      </c>
      <c r="B27" s="11" t="s">
        <v>186</v>
      </c>
      <c r="C27" s="126">
        <v>2823029</v>
      </c>
      <c r="D27" s="126">
        <v>1693435</v>
      </c>
      <c r="E27" s="126">
        <v>2823029</v>
      </c>
      <c r="F27" s="126">
        <v>1693435</v>
      </c>
      <c r="G27" s="126">
        <f>SUM(G28:G30)</f>
        <v>1304785.3500000001</v>
      </c>
      <c r="H27" s="82">
        <f t="shared" si="2"/>
        <v>-388649.64999999991</v>
      </c>
      <c r="I27" s="153">
        <f t="shared" si="3"/>
        <v>-0.22950373058310469</v>
      </c>
      <c r="J27" s="783" t="s">
        <v>797</v>
      </c>
      <c r="K27" s="82">
        <f t="shared" si="4"/>
        <v>-1518243.65</v>
      </c>
      <c r="L27" s="153">
        <f t="shared" si="5"/>
        <v>-0.53780660772524824</v>
      </c>
      <c r="M27" s="786" t="s">
        <v>712</v>
      </c>
    </row>
    <row r="28" spans="1:13" x14ac:dyDescent="0.2">
      <c r="A28" s="63">
        <v>11310</v>
      </c>
      <c r="B28" s="4" t="s">
        <v>144</v>
      </c>
      <c r="C28" s="15">
        <v>1405996</v>
      </c>
      <c r="D28" s="15">
        <v>1158240</v>
      </c>
      <c r="E28" s="15">
        <v>1405996</v>
      </c>
      <c r="F28" s="16">
        <v>1158240</v>
      </c>
      <c r="G28" s="15">
        <f>1037140.56+1.65</f>
        <v>1037142.2100000001</v>
      </c>
      <c r="H28" s="147">
        <f t="shared" si="2"/>
        <v>-121097.78999999992</v>
      </c>
      <c r="I28" s="148">
        <f t="shared" si="3"/>
        <v>-0.10455327911313711</v>
      </c>
      <c r="J28" s="784"/>
      <c r="K28" s="147">
        <f t="shared" si="4"/>
        <v>-368853.78999999992</v>
      </c>
      <c r="L28" s="148">
        <f t="shared" si="5"/>
        <v>-0.26234341349477519</v>
      </c>
      <c r="M28" s="787"/>
    </row>
    <row r="29" spans="1:13" x14ac:dyDescent="0.2">
      <c r="A29" s="63">
        <v>11320</v>
      </c>
      <c r="B29" s="4" t="s">
        <v>145</v>
      </c>
      <c r="C29" s="15"/>
      <c r="D29" s="15"/>
      <c r="E29" s="15"/>
      <c r="F29" s="16"/>
      <c r="G29" s="15"/>
      <c r="H29" s="147">
        <f t="shared" si="2"/>
        <v>0</v>
      </c>
      <c r="I29" s="148" t="str">
        <f t="shared" si="3"/>
        <v>-</v>
      </c>
      <c r="J29" s="784"/>
      <c r="K29" s="147">
        <f t="shared" si="4"/>
        <v>0</v>
      </c>
      <c r="L29" s="148" t="str">
        <f t="shared" si="5"/>
        <v>-</v>
      </c>
      <c r="M29" s="787"/>
    </row>
    <row r="30" spans="1:13" ht="53.25" customHeight="1" x14ac:dyDescent="0.2">
      <c r="A30" s="63">
        <v>11330</v>
      </c>
      <c r="B30" s="4" t="s">
        <v>15</v>
      </c>
      <c r="C30" s="15">
        <v>1417033</v>
      </c>
      <c r="D30" s="15">
        <v>535195</v>
      </c>
      <c r="E30" s="15">
        <v>1417033</v>
      </c>
      <c r="F30" s="16">
        <v>535195</v>
      </c>
      <c r="G30" s="15">
        <f>8.26+208.32+229838.91+36998.39+20.29+7.01+561.96</f>
        <v>267643.14</v>
      </c>
      <c r="H30" s="147">
        <f t="shared" si="2"/>
        <v>-267551.86</v>
      </c>
      <c r="I30" s="148">
        <f t="shared" si="3"/>
        <v>-0.49991472267117593</v>
      </c>
      <c r="J30" s="785"/>
      <c r="K30" s="147">
        <f t="shared" si="4"/>
        <v>-1149389.8599999999</v>
      </c>
      <c r="L30" s="148">
        <f t="shared" si="5"/>
        <v>-0.81112427162952438</v>
      </c>
      <c r="M30" s="788"/>
    </row>
    <row r="31" spans="1:13" ht="37.5" x14ac:dyDescent="0.2">
      <c r="A31" s="49">
        <v>11400</v>
      </c>
      <c r="B31" s="58" t="s">
        <v>16</v>
      </c>
      <c r="C31" s="127">
        <v>429445</v>
      </c>
      <c r="D31" s="127">
        <v>355133</v>
      </c>
      <c r="E31" s="127">
        <v>429445</v>
      </c>
      <c r="F31" s="127">
        <v>355133</v>
      </c>
      <c r="G31" s="127">
        <f>347259.86</f>
        <v>347259.86</v>
      </c>
      <c r="H31" s="159">
        <f t="shared" si="2"/>
        <v>-7873.140000000014</v>
      </c>
      <c r="I31" s="160">
        <f t="shared" si="3"/>
        <v>-2.2169553378593412E-2</v>
      </c>
      <c r="J31" s="435"/>
      <c r="K31" s="237">
        <f t="shared" si="4"/>
        <v>-82185.140000000014</v>
      </c>
      <c r="L31" s="238">
        <f t="shared" si="5"/>
        <v>-0.19137524013552379</v>
      </c>
      <c r="M31" s="437" t="s">
        <v>716</v>
      </c>
    </row>
    <row r="32" spans="1:13" ht="37.5" x14ac:dyDescent="0.2">
      <c r="A32" s="49">
        <v>11500</v>
      </c>
      <c r="B32" s="58" t="s">
        <v>300</v>
      </c>
      <c r="C32" s="127">
        <v>375759</v>
      </c>
      <c r="D32" s="127">
        <v>317022</v>
      </c>
      <c r="E32" s="127">
        <v>375759</v>
      </c>
      <c r="F32" s="127">
        <v>317022</v>
      </c>
      <c r="G32" s="127">
        <f>303062.97</f>
        <v>303062.96999999997</v>
      </c>
      <c r="H32" s="159">
        <f t="shared" si="2"/>
        <v>-13959.030000000028</v>
      </c>
      <c r="I32" s="160">
        <f t="shared" si="3"/>
        <v>-4.4031739122206121E-2</v>
      </c>
      <c r="J32" s="436"/>
      <c r="K32" s="237">
        <f t="shared" si="4"/>
        <v>-72696.030000000028</v>
      </c>
      <c r="L32" s="238">
        <f t="shared" si="5"/>
        <v>-0.19346450783613972</v>
      </c>
      <c r="M32" s="380" t="s">
        <v>714</v>
      </c>
    </row>
    <row r="33" spans="1:13" ht="42.75" customHeight="1" x14ac:dyDescent="0.2">
      <c r="A33" s="49">
        <v>11600</v>
      </c>
      <c r="B33" s="6" t="s">
        <v>19</v>
      </c>
      <c r="C33" s="127">
        <v>173753</v>
      </c>
      <c r="D33" s="127">
        <v>157577</v>
      </c>
      <c r="E33" s="127">
        <v>173753</v>
      </c>
      <c r="F33" s="127">
        <v>157577</v>
      </c>
      <c r="G33" s="127">
        <f>138903</f>
        <v>138903</v>
      </c>
      <c r="H33" s="159">
        <f t="shared" si="2"/>
        <v>-18674</v>
      </c>
      <c r="I33" s="160">
        <f t="shared" si="3"/>
        <v>-0.11850714253983767</v>
      </c>
      <c r="J33" s="437" t="s">
        <v>716</v>
      </c>
      <c r="K33" s="237">
        <f t="shared" si="4"/>
        <v>-34850</v>
      </c>
      <c r="L33" s="238">
        <f t="shared" si="5"/>
        <v>-0.2005720764533562</v>
      </c>
      <c r="M33" s="437" t="s">
        <v>716</v>
      </c>
    </row>
    <row r="34" spans="1:13" ht="19.5" x14ac:dyDescent="0.2">
      <c r="A34" s="29">
        <v>12000</v>
      </c>
      <c r="B34" s="11" t="s">
        <v>187</v>
      </c>
      <c r="C34" s="126">
        <v>16962798</v>
      </c>
      <c r="D34" s="126">
        <v>18540848</v>
      </c>
      <c r="E34" s="126">
        <v>16962798</v>
      </c>
      <c r="F34" s="126">
        <v>18540848</v>
      </c>
      <c r="G34" s="126">
        <f t="shared" ref="G34" si="13">G35+G42</f>
        <v>18604906.730000004</v>
      </c>
      <c r="H34" s="82">
        <f t="shared" si="2"/>
        <v>64058.730000004172</v>
      </c>
      <c r="I34" s="153">
        <f t="shared" si="3"/>
        <v>3.4550054021263844E-3</v>
      </c>
      <c r="J34" s="535"/>
      <c r="K34" s="82">
        <f t="shared" si="4"/>
        <v>1642108.7300000042</v>
      </c>
      <c r="L34" s="153">
        <f t="shared" si="5"/>
        <v>9.680647791714575E-2</v>
      </c>
      <c r="M34" s="180"/>
    </row>
    <row r="35" spans="1:13" ht="19.5" x14ac:dyDescent="0.2">
      <c r="A35" s="30">
        <v>12100</v>
      </c>
      <c r="B35" s="31" t="s">
        <v>188</v>
      </c>
      <c r="C35" s="126">
        <v>15857136</v>
      </c>
      <c r="D35" s="126">
        <v>17671093</v>
      </c>
      <c r="E35" s="126">
        <v>15857136</v>
      </c>
      <c r="F35" s="126">
        <v>17671093</v>
      </c>
      <c r="G35" s="126">
        <f>G36+G37+G38+G39+G40+G41</f>
        <v>17309637.660000004</v>
      </c>
      <c r="H35" s="82">
        <f t="shared" si="2"/>
        <v>-361455.33999999613</v>
      </c>
      <c r="I35" s="153">
        <f t="shared" si="3"/>
        <v>-2.0454611381423668E-2</v>
      </c>
      <c r="J35" s="535"/>
      <c r="K35" s="82">
        <f t="shared" si="4"/>
        <v>1452501.6600000039</v>
      </c>
      <c r="L35" s="153">
        <f t="shared" si="5"/>
        <v>9.1599243394267657E-2</v>
      </c>
      <c r="M35" s="180"/>
    </row>
    <row r="36" spans="1:13" ht="37.5" x14ac:dyDescent="0.2">
      <c r="A36" s="63">
        <v>12110</v>
      </c>
      <c r="B36" s="44" t="s">
        <v>302</v>
      </c>
      <c r="C36" s="15">
        <v>7463010</v>
      </c>
      <c r="D36" s="15">
        <v>8507297</v>
      </c>
      <c r="E36" s="15">
        <v>7463010</v>
      </c>
      <c r="F36" s="16">
        <v>8507297</v>
      </c>
      <c r="G36" s="15">
        <v>9254843.9600000009</v>
      </c>
      <c r="H36" s="147">
        <f t="shared" si="2"/>
        <v>747546.96000000089</v>
      </c>
      <c r="I36" s="148">
        <f t="shared" si="3"/>
        <v>8.7871266278819332E-2</v>
      </c>
      <c r="J36" s="489" t="s">
        <v>806</v>
      </c>
      <c r="K36" s="147">
        <f t="shared" si="4"/>
        <v>1791833.9600000009</v>
      </c>
      <c r="L36" s="148">
        <f t="shared" si="5"/>
        <v>0.24009534490775181</v>
      </c>
      <c r="M36" s="489" t="s">
        <v>747</v>
      </c>
    </row>
    <row r="37" spans="1:13" ht="75" x14ac:dyDescent="0.2">
      <c r="A37" s="63">
        <v>12120</v>
      </c>
      <c r="B37" s="44" t="s">
        <v>303</v>
      </c>
      <c r="C37" s="15">
        <v>1902635</v>
      </c>
      <c r="D37" s="15">
        <v>2120952</v>
      </c>
      <c r="E37" s="15">
        <v>1902635</v>
      </c>
      <c r="F37" s="16">
        <v>2120952</v>
      </c>
      <c r="G37" s="15">
        <v>2130471.46</v>
      </c>
      <c r="H37" s="147">
        <f t="shared" si="2"/>
        <v>9519.4599999999627</v>
      </c>
      <c r="I37" s="148">
        <f t="shared" si="3"/>
        <v>4.4882958218761962E-3</v>
      </c>
      <c r="J37" s="151"/>
      <c r="K37" s="147">
        <f t="shared" si="4"/>
        <v>227836.45999999996</v>
      </c>
      <c r="L37" s="148">
        <f t="shared" si="5"/>
        <v>0.11974785494853188</v>
      </c>
      <c r="M37" s="489" t="s">
        <v>747</v>
      </c>
    </row>
    <row r="38" spans="1:13" ht="337.5" x14ac:dyDescent="0.2">
      <c r="A38" s="63">
        <v>12130</v>
      </c>
      <c r="B38" s="44" t="s">
        <v>304</v>
      </c>
      <c r="C38" s="15">
        <v>4931</v>
      </c>
      <c r="D38" s="15">
        <v>7750</v>
      </c>
      <c r="E38" s="15">
        <v>4931</v>
      </c>
      <c r="F38" s="16">
        <v>7750</v>
      </c>
      <c r="G38" s="15">
        <v>703.99</v>
      </c>
      <c r="H38" s="147">
        <f t="shared" si="2"/>
        <v>-7046.01</v>
      </c>
      <c r="I38" s="148">
        <f t="shared" si="3"/>
        <v>-0.90916258064516131</v>
      </c>
      <c r="J38" s="525" t="s">
        <v>916</v>
      </c>
      <c r="K38" s="147">
        <f t="shared" si="4"/>
        <v>-4227.01</v>
      </c>
      <c r="L38" s="148">
        <f t="shared" si="5"/>
        <v>-0.85723179882376799</v>
      </c>
      <c r="M38" s="525" t="s">
        <v>845</v>
      </c>
    </row>
    <row r="39" spans="1:13" ht="131.25" x14ac:dyDescent="0.2">
      <c r="A39" s="63">
        <v>12140</v>
      </c>
      <c r="B39" s="44" t="s">
        <v>305</v>
      </c>
      <c r="C39" s="15">
        <v>1311420</v>
      </c>
      <c r="D39" s="15">
        <v>1879519</v>
      </c>
      <c r="E39" s="15">
        <v>1311420</v>
      </c>
      <c r="F39" s="16">
        <v>1879519</v>
      </c>
      <c r="G39" s="15">
        <f>1330215.11+5384.67+2358.78-60</f>
        <v>1337898.56</v>
      </c>
      <c r="H39" s="147">
        <f t="shared" si="2"/>
        <v>-541620.43999999994</v>
      </c>
      <c r="I39" s="148">
        <f t="shared" si="3"/>
        <v>-0.28816970724956753</v>
      </c>
      <c r="J39" s="526" t="s">
        <v>846</v>
      </c>
      <c r="K39" s="147">
        <f t="shared" si="4"/>
        <v>26478.560000000056</v>
      </c>
      <c r="L39" s="148">
        <f t="shared" si="5"/>
        <v>2.0190755059401301E-2</v>
      </c>
      <c r="M39" s="389"/>
    </row>
    <row r="40" spans="1:13" ht="375" x14ac:dyDescent="0.2">
      <c r="A40" s="63">
        <v>12150</v>
      </c>
      <c r="B40" s="44" t="s">
        <v>306</v>
      </c>
      <c r="C40" s="15">
        <v>275610</v>
      </c>
      <c r="D40" s="15">
        <v>263001</v>
      </c>
      <c r="E40" s="15">
        <v>275610</v>
      </c>
      <c r="F40" s="16">
        <v>263001</v>
      </c>
      <c r="G40" s="15">
        <f>4585719.42-4270349</f>
        <v>315370.41999999993</v>
      </c>
      <c r="H40" s="147">
        <f t="shared" si="2"/>
        <v>52369.419999999925</v>
      </c>
      <c r="I40" s="148">
        <f t="shared" si="3"/>
        <v>0.19912251284215621</v>
      </c>
      <c r="J40" s="526" t="s">
        <v>847</v>
      </c>
      <c r="K40" s="147">
        <f t="shared" si="4"/>
        <v>39760.419999999925</v>
      </c>
      <c r="L40" s="148">
        <f t="shared" si="5"/>
        <v>0.14426334312978456</v>
      </c>
      <c r="M40" s="525" t="s">
        <v>848</v>
      </c>
    </row>
    <row r="41" spans="1:13" ht="75" x14ac:dyDescent="0.2">
      <c r="A41" s="63">
        <v>12160</v>
      </c>
      <c r="B41" s="44" t="s">
        <v>307</v>
      </c>
      <c r="C41" s="15">
        <v>4899530</v>
      </c>
      <c r="D41" s="15">
        <v>4892574</v>
      </c>
      <c r="E41" s="15">
        <v>4899530</v>
      </c>
      <c r="F41" s="16">
        <v>4892574</v>
      </c>
      <c r="G41" s="15">
        <v>4270349.2699999996</v>
      </c>
      <c r="H41" s="147">
        <f t="shared" si="2"/>
        <v>-622224.73000000045</v>
      </c>
      <c r="I41" s="148">
        <f t="shared" si="3"/>
        <v>-0.12717737738867116</v>
      </c>
      <c r="J41" s="527" t="s">
        <v>917</v>
      </c>
      <c r="K41" s="147">
        <f t="shared" si="4"/>
        <v>-629180.73000000045</v>
      </c>
      <c r="L41" s="148">
        <f t="shared" si="5"/>
        <v>-0.12841654811788078</v>
      </c>
      <c r="M41" s="527" t="s">
        <v>917</v>
      </c>
    </row>
    <row r="42" spans="1:13" ht="37.5" customHeight="1" x14ac:dyDescent="0.2">
      <c r="A42" s="30">
        <v>12200</v>
      </c>
      <c r="B42" s="31" t="s">
        <v>189</v>
      </c>
      <c r="C42" s="126">
        <v>1105662</v>
      </c>
      <c r="D42" s="126">
        <v>869755</v>
      </c>
      <c r="E42" s="126">
        <v>1105662</v>
      </c>
      <c r="F42" s="532">
        <v>869755</v>
      </c>
      <c r="G42" s="126">
        <f t="shared" ref="G42" si="14">G43+G44</f>
        <v>1295269.07</v>
      </c>
      <c r="H42" s="82">
        <f t="shared" si="2"/>
        <v>425514.07000000007</v>
      </c>
      <c r="I42" s="153">
        <f t="shared" si="3"/>
        <v>0.48923440509108895</v>
      </c>
      <c r="J42" s="381"/>
      <c r="K42" s="82">
        <f t="shared" si="4"/>
        <v>189607.07000000007</v>
      </c>
      <c r="L42" s="153">
        <f t="shared" si="5"/>
        <v>0.17148737136665643</v>
      </c>
      <c r="M42" s="381"/>
    </row>
    <row r="43" spans="1:13" ht="18" customHeight="1" x14ac:dyDescent="0.2">
      <c r="A43" s="63">
        <v>12210</v>
      </c>
      <c r="B43" s="44" t="s">
        <v>308</v>
      </c>
      <c r="C43" s="15"/>
      <c r="D43" s="15"/>
      <c r="E43" s="15"/>
      <c r="F43" s="16"/>
      <c r="G43" s="15"/>
      <c r="H43" s="147">
        <f t="shared" si="2"/>
        <v>0</v>
      </c>
      <c r="I43" s="148" t="str">
        <f t="shared" si="3"/>
        <v>-</v>
      </c>
      <c r="J43" s="381"/>
      <c r="K43" s="147">
        <f t="shared" si="4"/>
        <v>0</v>
      </c>
      <c r="L43" s="148" t="str">
        <f t="shared" si="5"/>
        <v>-</v>
      </c>
      <c r="M43" s="381"/>
    </row>
    <row r="44" spans="1:13" ht="150" x14ac:dyDescent="0.2">
      <c r="A44" s="63">
        <v>12220</v>
      </c>
      <c r="B44" s="44" t="s">
        <v>309</v>
      </c>
      <c r="C44" s="15">
        <v>1105662</v>
      </c>
      <c r="D44" s="15">
        <v>869755</v>
      </c>
      <c r="E44" s="15">
        <v>1105662</v>
      </c>
      <c r="F44" s="16">
        <v>869755</v>
      </c>
      <c r="G44" s="15">
        <f>1295269.07</f>
        <v>1295269.07</v>
      </c>
      <c r="H44" s="147">
        <f t="shared" si="2"/>
        <v>425514.07000000007</v>
      </c>
      <c r="I44" s="148">
        <f t="shared" si="3"/>
        <v>0.48923440509108895</v>
      </c>
      <c r="J44" s="528" t="s">
        <v>851</v>
      </c>
      <c r="K44" s="147">
        <f t="shared" si="4"/>
        <v>189607.07000000007</v>
      </c>
      <c r="L44" s="148">
        <f t="shared" si="5"/>
        <v>0.17148737136665643</v>
      </c>
      <c r="M44" s="528" t="s">
        <v>852</v>
      </c>
    </row>
    <row r="45" spans="1:13" ht="37.5" x14ac:dyDescent="0.2">
      <c r="A45" s="29">
        <v>13000</v>
      </c>
      <c r="B45" s="36" t="s">
        <v>190</v>
      </c>
      <c r="C45" s="35">
        <v>2743102</v>
      </c>
      <c r="D45" s="35">
        <v>1081781</v>
      </c>
      <c r="E45" s="35">
        <v>2743102</v>
      </c>
      <c r="F45" s="532">
        <v>1081781</v>
      </c>
      <c r="G45" s="35">
        <f t="shared" ref="G45" si="15">G5-G34</f>
        <v>546421.45999999344</v>
      </c>
      <c r="H45" s="161">
        <f t="shared" si="2"/>
        <v>-535359.54000000656</v>
      </c>
      <c r="I45" s="152">
        <f t="shared" si="3"/>
        <v>-0.49488717217256223</v>
      </c>
      <c r="J45" s="382"/>
      <c r="K45" s="161">
        <f t="shared" si="4"/>
        <v>-2196680.5400000066</v>
      </c>
      <c r="L45" s="152">
        <f t="shared" si="5"/>
        <v>-0.80080162531324262</v>
      </c>
      <c r="M45" s="382"/>
    </row>
    <row r="46" spans="1:13" x14ac:dyDescent="0.2">
      <c r="A46" s="62" t="s">
        <v>196</v>
      </c>
      <c r="B46" s="760" t="s">
        <v>192</v>
      </c>
      <c r="C46" s="760"/>
      <c r="D46" s="760"/>
      <c r="E46" s="760"/>
      <c r="F46" s="760"/>
      <c r="G46" s="760"/>
      <c r="H46" s="760"/>
      <c r="I46" s="162" t="str">
        <f t="shared" si="3"/>
        <v>-</v>
      </c>
      <c r="J46" s="383"/>
      <c r="K46" s="112">
        <f t="shared" si="4"/>
        <v>0</v>
      </c>
      <c r="L46" s="162" t="str">
        <f t="shared" si="5"/>
        <v>-</v>
      </c>
      <c r="M46" s="383"/>
    </row>
    <row r="47" spans="1:13" ht="19.5" x14ac:dyDescent="0.2">
      <c r="A47" s="37">
        <v>14000</v>
      </c>
      <c r="B47" s="38" t="s">
        <v>316</v>
      </c>
      <c r="C47" s="128">
        <f>C48+C49+C50+C51+C52</f>
        <v>0</v>
      </c>
      <c r="D47" s="128">
        <f t="shared" ref="D47:G47" si="16">D48+D49+D50+D51+D52</f>
        <v>0</v>
      </c>
      <c r="E47" s="128">
        <f>E48+E49+E50+E51+E52</f>
        <v>0</v>
      </c>
      <c r="F47" s="130">
        <f t="shared" ref="F47" si="17">F48+F49+F50+F51+F52</f>
        <v>0</v>
      </c>
      <c r="G47" s="128">
        <f t="shared" si="16"/>
        <v>0</v>
      </c>
      <c r="H47" s="163">
        <f t="shared" ref="H47:H63" si="18">G47-F47</f>
        <v>0</v>
      </c>
      <c r="I47" s="152" t="str">
        <f t="shared" si="3"/>
        <v>-</v>
      </c>
      <c r="J47" s="384"/>
      <c r="K47" s="163">
        <f t="shared" si="4"/>
        <v>0</v>
      </c>
      <c r="L47" s="152" t="str">
        <f t="shared" si="5"/>
        <v>-</v>
      </c>
      <c r="M47" s="384"/>
    </row>
    <row r="48" spans="1:13" ht="56.25" x14ac:dyDescent="0.2">
      <c r="A48" s="45">
        <v>14100</v>
      </c>
      <c r="B48" s="46" t="s">
        <v>312</v>
      </c>
      <c r="C48" s="129"/>
      <c r="D48" s="129"/>
      <c r="E48" s="129"/>
      <c r="F48" s="129"/>
      <c r="G48" s="129"/>
      <c r="H48" s="164">
        <f t="shared" si="18"/>
        <v>0</v>
      </c>
      <c r="I48" s="160" t="str">
        <f t="shared" si="3"/>
        <v>-</v>
      </c>
      <c r="J48" s="385"/>
      <c r="K48" s="164">
        <f t="shared" si="4"/>
        <v>0</v>
      </c>
      <c r="L48" s="160" t="str">
        <f t="shared" si="5"/>
        <v>-</v>
      </c>
      <c r="M48" s="385"/>
    </row>
    <row r="49" spans="1:13" ht="37.5" customHeight="1" x14ac:dyDescent="0.2">
      <c r="A49" s="45">
        <v>14200</v>
      </c>
      <c r="B49" s="46" t="s">
        <v>193</v>
      </c>
      <c r="C49" s="129"/>
      <c r="D49" s="129"/>
      <c r="E49" s="129"/>
      <c r="F49" s="129"/>
      <c r="G49" s="129"/>
      <c r="H49" s="164">
        <f t="shared" si="18"/>
        <v>0</v>
      </c>
      <c r="I49" s="160" t="str">
        <f t="shared" si="3"/>
        <v>-</v>
      </c>
      <c r="J49" s="385"/>
      <c r="K49" s="164">
        <f t="shared" si="4"/>
        <v>0</v>
      </c>
      <c r="L49" s="160" t="str">
        <f t="shared" si="5"/>
        <v>-</v>
      </c>
      <c r="M49" s="385"/>
    </row>
    <row r="50" spans="1:13" ht="19.5" x14ac:dyDescent="0.2">
      <c r="A50" s="45">
        <v>14300</v>
      </c>
      <c r="B50" s="58" t="s">
        <v>195</v>
      </c>
      <c r="C50" s="129"/>
      <c r="D50" s="129"/>
      <c r="E50" s="129"/>
      <c r="F50" s="129"/>
      <c r="G50" s="129"/>
      <c r="H50" s="164">
        <f t="shared" si="18"/>
        <v>0</v>
      </c>
      <c r="I50" s="160" t="str">
        <f t="shared" si="3"/>
        <v>-</v>
      </c>
      <c r="J50" s="385"/>
      <c r="K50" s="164">
        <f t="shared" si="4"/>
        <v>0</v>
      </c>
      <c r="L50" s="160" t="str">
        <f t="shared" si="5"/>
        <v>-</v>
      </c>
      <c r="M50" s="385"/>
    </row>
    <row r="51" spans="1:13" ht="19.5" x14ac:dyDescent="0.2">
      <c r="A51" s="45">
        <v>14400</v>
      </c>
      <c r="B51" s="58" t="s">
        <v>317</v>
      </c>
      <c r="C51" s="129"/>
      <c r="D51" s="129"/>
      <c r="E51" s="129"/>
      <c r="F51" s="129"/>
      <c r="G51" s="129"/>
      <c r="H51" s="164">
        <f t="shared" si="18"/>
        <v>0</v>
      </c>
      <c r="I51" s="160" t="str">
        <f t="shared" si="3"/>
        <v>-</v>
      </c>
      <c r="J51" s="385"/>
      <c r="K51" s="164">
        <f t="shared" si="4"/>
        <v>0</v>
      </c>
      <c r="L51" s="160" t="str">
        <f t="shared" si="5"/>
        <v>-</v>
      </c>
      <c r="M51" s="385"/>
    </row>
    <row r="52" spans="1:13" ht="19.5" x14ac:dyDescent="0.2">
      <c r="A52" s="45">
        <v>14500</v>
      </c>
      <c r="B52" s="58" t="s">
        <v>318</v>
      </c>
      <c r="C52" s="129"/>
      <c r="D52" s="129"/>
      <c r="E52" s="129"/>
      <c r="F52" s="129"/>
      <c r="G52" s="129"/>
      <c r="H52" s="164">
        <f t="shared" si="18"/>
        <v>0</v>
      </c>
      <c r="I52" s="160" t="str">
        <f t="shared" si="3"/>
        <v>-</v>
      </c>
      <c r="J52" s="385"/>
      <c r="K52" s="164">
        <f t="shared" si="4"/>
        <v>0</v>
      </c>
      <c r="L52" s="160" t="str">
        <f t="shared" si="5"/>
        <v>-</v>
      </c>
      <c r="M52" s="385"/>
    </row>
    <row r="53" spans="1:13" ht="19.5" x14ac:dyDescent="0.2">
      <c r="A53" s="37">
        <v>15000</v>
      </c>
      <c r="B53" s="39" t="s">
        <v>319</v>
      </c>
      <c r="C53" s="128">
        <f t="shared" ref="C53:G53" ca="1" si="19">C54+C55+C104</f>
        <v>699038</v>
      </c>
      <c r="D53" s="128">
        <f t="shared" ca="1" si="19"/>
        <v>788931</v>
      </c>
      <c r="E53" s="128">
        <f t="shared" ref="E53:F53" ca="1" si="20">E54+E55+E104</f>
        <v>699038</v>
      </c>
      <c r="F53" s="130">
        <f t="shared" ca="1" si="20"/>
        <v>788931</v>
      </c>
      <c r="G53" s="128">
        <f t="shared" ca="1" si="19"/>
        <v>1784741.1</v>
      </c>
      <c r="H53" s="163">
        <f t="shared" ca="1" si="18"/>
        <v>995810.10000000009</v>
      </c>
      <c r="I53" s="152">
        <f t="shared" ca="1" si="3"/>
        <v>1.2622271149187954</v>
      </c>
      <c r="J53" s="384"/>
      <c r="K53" s="163">
        <f t="shared" ca="1" si="4"/>
        <v>1085703.1000000001</v>
      </c>
      <c r="L53" s="152">
        <f t="shared" ca="1" si="5"/>
        <v>1.553138885153597</v>
      </c>
      <c r="M53" s="384"/>
    </row>
    <row r="54" spans="1:13" ht="56.25" x14ac:dyDescent="0.2">
      <c r="A54" s="45">
        <v>15100</v>
      </c>
      <c r="B54" s="46" t="s">
        <v>311</v>
      </c>
      <c r="C54" s="129"/>
      <c r="D54" s="129"/>
      <c r="E54" s="129"/>
      <c r="F54" s="129"/>
      <c r="G54" s="129"/>
      <c r="H54" s="164">
        <f t="shared" si="18"/>
        <v>0</v>
      </c>
      <c r="I54" s="160" t="str">
        <f t="shared" si="3"/>
        <v>-</v>
      </c>
      <c r="J54" s="385"/>
      <c r="K54" s="164">
        <f t="shared" si="4"/>
        <v>0</v>
      </c>
      <c r="L54" s="160" t="str">
        <f t="shared" si="5"/>
        <v>-</v>
      </c>
      <c r="M54" s="385"/>
    </row>
    <row r="55" spans="1:13" ht="40.5" x14ac:dyDescent="0.2">
      <c r="A55" s="45">
        <v>15200</v>
      </c>
      <c r="B55" s="46" t="s">
        <v>572</v>
      </c>
      <c r="C55" s="130">
        <f ca="1">C56+C72+C88</f>
        <v>699038</v>
      </c>
      <c r="D55" s="130">
        <f ca="1">D56+D72+D88</f>
        <v>788931</v>
      </c>
      <c r="E55" s="130">
        <f ca="1">E56+E72+E88</f>
        <v>699038</v>
      </c>
      <c r="F55" s="130">
        <f ca="1">F56+F72+F88</f>
        <v>788931</v>
      </c>
      <c r="G55" s="130">
        <f t="shared" ref="G55" ca="1" si="21">G56+G72+G88</f>
        <v>1784741.1</v>
      </c>
      <c r="H55" s="165">
        <f t="shared" ca="1" si="18"/>
        <v>995810.10000000009</v>
      </c>
      <c r="I55" s="166">
        <f t="shared" ca="1" si="3"/>
        <v>1.2622271149187954</v>
      </c>
      <c r="J55" s="384"/>
      <c r="K55" s="165">
        <f t="shared" ca="1" si="4"/>
        <v>1085703.1000000001</v>
      </c>
      <c r="L55" s="166">
        <f t="shared" ca="1" si="5"/>
        <v>1.553138885153597</v>
      </c>
      <c r="M55" s="384"/>
    </row>
    <row r="56" spans="1:13" s="42" customFormat="1" ht="19.5" x14ac:dyDescent="0.2">
      <c r="A56" s="40">
        <v>15210</v>
      </c>
      <c r="B56" s="21" t="s">
        <v>315</v>
      </c>
      <c r="C56" s="41">
        <f ca="1">C57+C60+C63+C66+C69</f>
        <v>0</v>
      </c>
      <c r="D56" s="41">
        <f t="shared" ref="D56:G56" ca="1" si="22">D57+D60+D63+D66+D69</f>
        <v>0</v>
      </c>
      <c r="E56" s="41">
        <f ca="1">E57+E60+E63+E66+E69</f>
        <v>0</v>
      </c>
      <c r="F56" s="130">
        <f t="shared" ref="F56" ca="1" si="23">F57+F60+F63+F66+F69</f>
        <v>0</v>
      </c>
      <c r="G56" s="41">
        <f t="shared" ca="1" si="22"/>
        <v>0</v>
      </c>
      <c r="H56" s="167">
        <f t="shared" ca="1" si="18"/>
        <v>0</v>
      </c>
      <c r="I56" s="153" t="str">
        <f t="shared" ca="1" si="3"/>
        <v>-</v>
      </c>
      <c r="J56" s="765"/>
      <c r="K56" s="167">
        <f t="shared" ca="1" si="4"/>
        <v>0</v>
      </c>
      <c r="L56" s="153" t="str">
        <f t="shared" ca="1" si="5"/>
        <v>-</v>
      </c>
      <c r="M56" s="765"/>
    </row>
    <row r="57" spans="1:13" ht="56.25" x14ac:dyDescent="0.2">
      <c r="A57" s="43">
        <v>15211</v>
      </c>
      <c r="B57" s="44" t="s">
        <v>562</v>
      </c>
      <c r="C57" s="131">
        <f ca="1">SUM(OFFSET(C60,-1,0):OFFSET(C57,1,0))</f>
        <v>0</v>
      </c>
      <c r="D57" s="131">
        <f ca="1">SUM(OFFSET(D60,-1,0):OFFSET(D57,1,0))</f>
        <v>0</v>
      </c>
      <c r="E57" s="131">
        <f ca="1">SUM(OFFSET(E60,-1,0):OFFSET(E57,1,0))</f>
        <v>0</v>
      </c>
      <c r="F57" s="533">
        <f ca="1">SUM(OFFSET(F60,-1,0):OFFSET(F57,1,0))</f>
        <v>0</v>
      </c>
      <c r="G57" s="131">
        <f ca="1">SUM(OFFSET(G60,-1,0):OFFSET(G57,1,0))</f>
        <v>0</v>
      </c>
      <c r="H57" s="168">
        <f t="shared" ca="1" si="18"/>
        <v>0</v>
      </c>
      <c r="I57" s="169" t="str">
        <f t="shared" ca="1" si="3"/>
        <v>-</v>
      </c>
      <c r="J57" s="766"/>
      <c r="K57" s="168">
        <f t="shared" ca="1" si="4"/>
        <v>0</v>
      </c>
      <c r="L57" s="169" t="str">
        <f t="shared" ca="1" si="5"/>
        <v>-</v>
      </c>
      <c r="M57" s="766"/>
    </row>
    <row r="58" spans="1:13" s="121" customFormat="1" ht="18.75" customHeight="1" x14ac:dyDescent="0.2">
      <c r="A58" s="68"/>
      <c r="B58" s="67"/>
      <c r="C58" s="132"/>
      <c r="D58" s="132"/>
      <c r="E58" s="132"/>
      <c r="F58" s="7"/>
      <c r="G58" s="132"/>
      <c r="H58" s="170">
        <f t="shared" si="18"/>
        <v>0</v>
      </c>
      <c r="I58" s="171" t="str">
        <f t="shared" si="3"/>
        <v>-</v>
      </c>
      <c r="J58" s="766"/>
      <c r="K58" s="170">
        <f t="shared" si="4"/>
        <v>0</v>
      </c>
      <c r="L58" s="171" t="str">
        <f t="shared" si="5"/>
        <v>-</v>
      </c>
      <c r="M58" s="766"/>
    </row>
    <row r="59" spans="1:13" s="121" customFormat="1" x14ac:dyDescent="0.2">
      <c r="A59" s="68"/>
      <c r="B59" s="67"/>
      <c r="C59" s="132"/>
      <c r="D59" s="132"/>
      <c r="E59" s="132"/>
      <c r="F59" s="7"/>
      <c r="G59" s="132"/>
      <c r="H59" s="170">
        <f t="shared" si="18"/>
        <v>0</v>
      </c>
      <c r="I59" s="171" t="str">
        <f t="shared" si="3"/>
        <v>-</v>
      </c>
      <c r="J59" s="766"/>
      <c r="K59" s="170">
        <f t="shared" si="4"/>
        <v>0</v>
      </c>
      <c r="L59" s="171" t="str">
        <f t="shared" si="5"/>
        <v>-</v>
      </c>
      <c r="M59" s="766"/>
    </row>
    <row r="60" spans="1:13" ht="56.25" x14ac:dyDescent="0.2">
      <c r="A60" s="43">
        <v>15212</v>
      </c>
      <c r="B60" s="44" t="s">
        <v>563</v>
      </c>
      <c r="C60" s="131">
        <f ca="1">SUM(OFFSET(C63,-1,0):OFFSET(C60,1,0))</f>
        <v>0</v>
      </c>
      <c r="D60" s="131">
        <f ca="1">SUM(OFFSET(D63,-1,0):OFFSET(D60,1,0))</f>
        <v>0</v>
      </c>
      <c r="E60" s="131">
        <f ca="1">SUM(OFFSET(E63,-1,0):OFFSET(E60,1,0))</f>
        <v>0</v>
      </c>
      <c r="F60" s="533">
        <f ca="1">SUM(OFFSET(F63,-1,0):OFFSET(F60,1,0))</f>
        <v>0</v>
      </c>
      <c r="G60" s="131">
        <f ca="1">SUM(OFFSET(G63,-1,0):OFFSET(G60,1,0))</f>
        <v>0</v>
      </c>
      <c r="H60" s="168">
        <f t="shared" ca="1" si="18"/>
        <v>0</v>
      </c>
      <c r="I60" s="169" t="str">
        <f t="shared" ca="1" si="3"/>
        <v>-</v>
      </c>
      <c r="J60" s="766"/>
      <c r="K60" s="168">
        <f t="shared" ca="1" si="4"/>
        <v>0</v>
      </c>
      <c r="L60" s="169" t="str">
        <f t="shared" ca="1" si="5"/>
        <v>-</v>
      </c>
      <c r="M60" s="766"/>
    </row>
    <row r="61" spans="1:13" s="121" customFormat="1" ht="18.75" customHeight="1" x14ac:dyDescent="0.2">
      <c r="A61" s="68"/>
      <c r="B61" s="67"/>
      <c r="C61" s="132"/>
      <c r="D61" s="132"/>
      <c r="E61" s="132"/>
      <c r="F61" s="7"/>
      <c r="G61" s="132"/>
      <c r="H61" s="170">
        <f t="shared" si="18"/>
        <v>0</v>
      </c>
      <c r="I61" s="171" t="str">
        <f t="shared" si="3"/>
        <v>-</v>
      </c>
      <c r="J61" s="766"/>
      <c r="K61" s="170">
        <f t="shared" si="4"/>
        <v>0</v>
      </c>
      <c r="L61" s="171" t="str">
        <f t="shared" si="5"/>
        <v>-</v>
      </c>
      <c r="M61" s="766"/>
    </row>
    <row r="62" spans="1:13" s="121" customFormat="1" x14ac:dyDescent="0.2">
      <c r="A62" s="68"/>
      <c r="B62" s="67"/>
      <c r="C62" s="132"/>
      <c r="D62" s="132"/>
      <c r="E62" s="132"/>
      <c r="F62" s="7"/>
      <c r="G62" s="132"/>
      <c r="H62" s="170">
        <f t="shared" si="18"/>
        <v>0</v>
      </c>
      <c r="I62" s="171" t="str">
        <f t="shared" si="3"/>
        <v>-</v>
      </c>
      <c r="J62" s="766"/>
      <c r="K62" s="170">
        <f t="shared" si="4"/>
        <v>0</v>
      </c>
      <c r="L62" s="171" t="str">
        <f t="shared" si="5"/>
        <v>-</v>
      </c>
      <c r="M62" s="766"/>
    </row>
    <row r="63" spans="1:13" ht="39.75" customHeight="1" x14ac:dyDescent="0.2">
      <c r="A63" s="43">
        <v>15213</v>
      </c>
      <c r="B63" s="44" t="s">
        <v>564</v>
      </c>
      <c r="C63" s="131">
        <f ca="1">SUM(OFFSET(C66,-1,0):OFFSET(C63,1,0))</f>
        <v>0</v>
      </c>
      <c r="D63" s="131">
        <f ca="1">SUM(OFFSET(D66,-1,0):OFFSET(D63,1,0))</f>
        <v>0</v>
      </c>
      <c r="E63" s="131">
        <f ca="1">SUM(OFFSET(E66,-1,0):OFFSET(E63,1,0))</f>
        <v>0</v>
      </c>
      <c r="F63" s="533">
        <f ca="1">SUM(OFFSET(F66,-1,0):OFFSET(F63,1,0))</f>
        <v>0</v>
      </c>
      <c r="G63" s="131">
        <f ca="1">SUM(OFFSET(G66,-1,0):OFFSET(G63,1,0))</f>
        <v>0</v>
      </c>
      <c r="H63" s="168">
        <f t="shared" ca="1" si="18"/>
        <v>0</v>
      </c>
      <c r="I63" s="169" t="str">
        <f t="shared" ca="1" si="3"/>
        <v>-</v>
      </c>
      <c r="J63" s="766"/>
      <c r="K63" s="168">
        <f t="shared" ca="1" si="4"/>
        <v>0</v>
      </c>
      <c r="L63" s="169" t="str">
        <f t="shared" ca="1" si="5"/>
        <v>-</v>
      </c>
      <c r="M63" s="766"/>
    </row>
    <row r="64" spans="1:13" s="121" customFormat="1" ht="39.75" customHeight="1" x14ac:dyDescent="0.2">
      <c r="A64" s="68"/>
      <c r="B64" s="67"/>
      <c r="C64" s="66"/>
      <c r="D64" s="66"/>
      <c r="E64" s="66"/>
      <c r="F64" s="534"/>
      <c r="G64" s="66"/>
      <c r="H64" s="170"/>
      <c r="I64" s="171" t="str">
        <f t="shared" si="3"/>
        <v>-</v>
      </c>
      <c r="J64" s="766"/>
      <c r="K64" s="170">
        <f t="shared" si="4"/>
        <v>0</v>
      </c>
      <c r="L64" s="171" t="str">
        <f t="shared" si="5"/>
        <v>-</v>
      </c>
      <c r="M64" s="766"/>
    </row>
    <row r="65" spans="1:13" s="121" customFormat="1" ht="39.75" customHeight="1" x14ac:dyDescent="0.2">
      <c r="A65" s="68"/>
      <c r="B65" s="67"/>
      <c r="C65" s="132"/>
      <c r="D65" s="132"/>
      <c r="E65" s="132"/>
      <c r="F65" s="7"/>
      <c r="G65" s="132"/>
      <c r="H65" s="170">
        <f t="shared" ref="H65:H105" si="24">G65-F65</f>
        <v>0</v>
      </c>
      <c r="I65" s="171" t="str">
        <f t="shared" si="3"/>
        <v>-</v>
      </c>
      <c r="J65" s="766"/>
      <c r="K65" s="170">
        <f t="shared" si="4"/>
        <v>0</v>
      </c>
      <c r="L65" s="171" t="str">
        <f t="shared" si="5"/>
        <v>-</v>
      </c>
      <c r="M65" s="766"/>
    </row>
    <row r="66" spans="1:13" ht="37.5" x14ac:dyDescent="0.2">
      <c r="A66" s="43">
        <v>15214</v>
      </c>
      <c r="B66" s="44" t="s">
        <v>565</v>
      </c>
      <c r="C66" s="131">
        <f ca="1">SUM(OFFSET(C69,-1,0):OFFSET(C66,1,0))</f>
        <v>0</v>
      </c>
      <c r="D66" s="131">
        <f ca="1">SUM(OFFSET(D69,-1,0):OFFSET(D66,1,0))</f>
        <v>0</v>
      </c>
      <c r="E66" s="131">
        <f ca="1">SUM(OFFSET(E69,-1,0):OFFSET(E66,1,0))</f>
        <v>0</v>
      </c>
      <c r="F66" s="533">
        <f ca="1">SUM(OFFSET(F69,-1,0):OFFSET(F66,1,0))</f>
        <v>0</v>
      </c>
      <c r="G66" s="131">
        <f ca="1">SUM(OFFSET(G69,-1,0):OFFSET(G66,1,0))</f>
        <v>0</v>
      </c>
      <c r="H66" s="168">
        <f t="shared" ca="1" si="24"/>
        <v>0</v>
      </c>
      <c r="I66" s="169" t="str">
        <f t="shared" ca="1" si="3"/>
        <v>-</v>
      </c>
      <c r="J66" s="766"/>
      <c r="K66" s="168">
        <f t="shared" ca="1" si="4"/>
        <v>0</v>
      </c>
      <c r="L66" s="169" t="str">
        <f t="shared" ca="1" si="5"/>
        <v>-</v>
      </c>
      <c r="M66" s="766"/>
    </row>
    <row r="67" spans="1:13" s="121" customFormat="1" ht="18.75" customHeight="1" x14ac:dyDescent="0.2">
      <c r="A67" s="68"/>
      <c r="B67" s="67"/>
      <c r="C67" s="132"/>
      <c r="D67" s="132"/>
      <c r="E67" s="132"/>
      <c r="F67" s="7"/>
      <c r="G67" s="132"/>
      <c r="H67" s="170">
        <f t="shared" si="24"/>
        <v>0</v>
      </c>
      <c r="I67" s="171" t="str">
        <f t="shared" si="3"/>
        <v>-</v>
      </c>
      <c r="J67" s="766"/>
      <c r="K67" s="170">
        <f t="shared" si="4"/>
        <v>0</v>
      </c>
      <c r="L67" s="171" t="str">
        <f t="shared" si="5"/>
        <v>-</v>
      </c>
      <c r="M67" s="766"/>
    </row>
    <row r="68" spans="1:13" s="121" customFormat="1" x14ac:dyDescent="0.2">
      <c r="A68" s="68"/>
      <c r="B68" s="67"/>
      <c r="C68" s="132"/>
      <c r="D68" s="132"/>
      <c r="E68" s="132"/>
      <c r="F68" s="7"/>
      <c r="G68" s="132"/>
      <c r="H68" s="170">
        <f t="shared" si="24"/>
        <v>0</v>
      </c>
      <c r="I68" s="171" t="str">
        <f t="shared" si="3"/>
        <v>-</v>
      </c>
      <c r="J68" s="766"/>
      <c r="K68" s="170">
        <f t="shared" si="4"/>
        <v>0</v>
      </c>
      <c r="L68" s="171" t="str">
        <f t="shared" si="5"/>
        <v>-</v>
      </c>
      <c r="M68" s="766"/>
    </row>
    <row r="69" spans="1:13" ht="37.5" x14ac:dyDescent="0.2">
      <c r="A69" s="43">
        <v>15215</v>
      </c>
      <c r="B69" s="44" t="s">
        <v>566</v>
      </c>
      <c r="C69" s="131">
        <f ca="1">SUM(OFFSET(C72,-1,0):OFFSET(C69,1,0))</f>
        <v>0</v>
      </c>
      <c r="D69" s="131">
        <f ca="1">SUM(OFFSET(D72,-1,0):OFFSET(D69,1,0))</f>
        <v>0</v>
      </c>
      <c r="E69" s="131">
        <f ca="1">SUM(OFFSET(E72,-1,0):OFFSET(E69,1,0))</f>
        <v>0</v>
      </c>
      <c r="F69" s="533">
        <f ca="1">SUM(OFFSET(F72,-1,0):OFFSET(F69,1,0))</f>
        <v>0</v>
      </c>
      <c r="G69" s="131">
        <f ca="1">SUM(OFFSET(G72,-1,0):OFFSET(G69,1,0))</f>
        <v>0</v>
      </c>
      <c r="H69" s="168">
        <f t="shared" ca="1" si="24"/>
        <v>0</v>
      </c>
      <c r="I69" s="169" t="str">
        <f t="shared" ref="I69:I132" ca="1" si="25">IFERROR(H69/ABS(F69), "-")</f>
        <v>-</v>
      </c>
      <c r="J69" s="766"/>
      <c r="K69" s="168">
        <f t="shared" ref="K69:K105" ca="1" si="26">G69-E69</f>
        <v>0</v>
      </c>
      <c r="L69" s="169" t="str">
        <f t="shared" ref="L69:L132" ca="1" si="27">IFERROR(K69/ABS(E69), "-")</f>
        <v>-</v>
      </c>
      <c r="M69" s="766"/>
    </row>
    <row r="70" spans="1:13" s="121" customFormat="1" ht="18.75" customHeight="1" x14ac:dyDescent="0.2">
      <c r="A70" s="68"/>
      <c r="B70" s="67"/>
      <c r="C70" s="132"/>
      <c r="D70" s="132"/>
      <c r="E70" s="132"/>
      <c r="F70" s="7"/>
      <c r="G70" s="132"/>
      <c r="H70" s="170">
        <f t="shared" si="24"/>
        <v>0</v>
      </c>
      <c r="I70" s="171" t="str">
        <f t="shared" si="25"/>
        <v>-</v>
      </c>
      <c r="J70" s="766"/>
      <c r="K70" s="170">
        <f t="shared" si="26"/>
        <v>0</v>
      </c>
      <c r="L70" s="171" t="str">
        <f t="shared" si="27"/>
        <v>-</v>
      </c>
      <c r="M70" s="766"/>
    </row>
    <row r="71" spans="1:13" s="121" customFormat="1" x14ac:dyDescent="0.2">
      <c r="A71" s="68"/>
      <c r="B71" s="67"/>
      <c r="C71" s="132"/>
      <c r="D71" s="132"/>
      <c r="E71" s="132"/>
      <c r="F71" s="7"/>
      <c r="G71" s="132">
        <v>0</v>
      </c>
      <c r="H71" s="170">
        <f t="shared" si="24"/>
        <v>0</v>
      </c>
      <c r="I71" s="171" t="str">
        <f t="shared" si="25"/>
        <v>-</v>
      </c>
      <c r="J71" s="767"/>
      <c r="K71" s="170">
        <f t="shared" si="26"/>
        <v>0</v>
      </c>
      <c r="L71" s="171" t="str">
        <f t="shared" si="27"/>
        <v>-</v>
      </c>
      <c r="M71" s="767"/>
    </row>
    <row r="72" spans="1:13" ht="19.5" customHeight="1" x14ac:dyDescent="0.2">
      <c r="A72" s="40">
        <v>15220</v>
      </c>
      <c r="B72" s="21" t="s">
        <v>313</v>
      </c>
      <c r="C72" s="41">
        <f ca="1">C73+C76+C79+C82+C85</f>
        <v>699038</v>
      </c>
      <c r="D72" s="41">
        <f t="shared" ref="D72:G72" ca="1" si="28">D73+D76+D79+D82+D85</f>
        <v>788931</v>
      </c>
      <c r="E72" s="41">
        <f ca="1">E73+E76+E79+E82+E85</f>
        <v>699038</v>
      </c>
      <c r="F72" s="41">
        <f t="shared" ref="F72" ca="1" si="29">F73+F76+F79+F82+F85</f>
        <v>788931</v>
      </c>
      <c r="G72" s="41">
        <f t="shared" ca="1" si="28"/>
        <v>1784741.1</v>
      </c>
      <c r="H72" s="167">
        <f t="shared" ca="1" si="24"/>
        <v>995810.10000000009</v>
      </c>
      <c r="I72" s="153">
        <f t="shared" ca="1" si="25"/>
        <v>1.2622271149187954</v>
      </c>
      <c r="J72" s="793" t="s">
        <v>816</v>
      </c>
      <c r="K72" s="167">
        <f t="shared" ca="1" si="26"/>
        <v>1085703.1000000001</v>
      </c>
      <c r="L72" s="153">
        <f t="shared" ca="1" si="27"/>
        <v>1.553138885153597</v>
      </c>
      <c r="M72" s="796" t="s">
        <v>817</v>
      </c>
    </row>
    <row r="73" spans="1:13" ht="56.25" x14ac:dyDescent="0.2">
      <c r="A73" s="43">
        <v>15221</v>
      </c>
      <c r="B73" s="44" t="s">
        <v>567</v>
      </c>
      <c r="C73" s="131">
        <f ca="1">SUM(OFFSET(C76,-1,0):OFFSET(C73,1,0))</f>
        <v>0</v>
      </c>
      <c r="D73" s="131">
        <f ca="1">SUM(OFFSET(D76,-1,0):OFFSET(D73,1,0))</f>
        <v>0</v>
      </c>
      <c r="E73" s="131">
        <f ca="1">SUM(OFFSET(E76,-1,0):OFFSET(E73,1,0))</f>
        <v>0</v>
      </c>
      <c r="F73" s="533">
        <f ca="1">SUM(OFFSET(F76,-1,0):OFFSET(F73,1,0))</f>
        <v>0</v>
      </c>
      <c r="G73" s="131">
        <f ca="1">SUM(OFFSET(G76,-1,0):OFFSET(G73,1,0))</f>
        <v>0</v>
      </c>
      <c r="H73" s="168">
        <f t="shared" ca="1" si="24"/>
        <v>0</v>
      </c>
      <c r="I73" s="169" t="str">
        <f t="shared" ca="1" si="25"/>
        <v>-</v>
      </c>
      <c r="J73" s="794"/>
      <c r="K73" s="168">
        <f t="shared" ca="1" si="26"/>
        <v>0</v>
      </c>
      <c r="L73" s="169" t="str">
        <f t="shared" ca="1" si="27"/>
        <v>-</v>
      </c>
      <c r="M73" s="796"/>
    </row>
    <row r="74" spans="1:13" s="121" customFormat="1" ht="18.75" customHeight="1" x14ac:dyDescent="0.2">
      <c r="A74" s="68"/>
      <c r="B74" s="67"/>
      <c r="C74" s="132"/>
      <c r="D74" s="132"/>
      <c r="E74" s="132"/>
      <c r="F74" s="7"/>
      <c r="G74" s="132"/>
      <c r="H74" s="170">
        <f t="shared" si="24"/>
        <v>0</v>
      </c>
      <c r="I74" s="171" t="str">
        <f t="shared" si="25"/>
        <v>-</v>
      </c>
      <c r="J74" s="794"/>
      <c r="K74" s="170">
        <f t="shared" si="26"/>
        <v>0</v>
      </c>
      <c r="L74" s="171" t="str">
        <f t="shared" si="27"/>
        <v>-</v>
      </c>
      <c r="M74" s="796"/>
    </row>
    <row r="75" spans="1:13" s="121" customFormat="1" x14ac:dyDescent="0.2">
      <c r="A75" s="68"/>
      <c r="B75" s="67"/>
      <c r="C75" s="132"/>
      <c r="D75" s="132"/>
      <c r="E75" s="132"/>
      <c r="F75" s="7"/>
      <c r="G75" s="132"/>
      <c r="H75" s="170">
        <f t="shared" si="24"/>
        <v>0</v>
      </c>
      <c r="I75" s="171" t="str">
        <f t="shared" si="25"/>
        <v>-</v>
      </c>
      <c r="J75" s="794"/>
      <c r="K75" s="170">
        <f t="shared" si="26"/>
        <v>0</v>
      </c>
      <c r="L75" s="171" t="str">
        <f t="shared" si="27"/>
        <v>-</v>
      </c>
      <c r="M75" s="796"/>
    </row>
    <row r="76" spans="1:13" ht="56.25" x14ac:dyDescent="0.2">
      <c r="A76" s="43">
        <v>15222</v>
      </c>
      <c r="B76" s="44" t="s">
        <v>563</v>
      </c>
      <c r="C76" s="131">
        <f ca="1">SUM(OFFSET(C79,-1,0):OFFSET(C76,1,0))</f>
        <v>0</v>
      </c>
      <c r="D76" s="131">
        <f ca="1">SUM(OFFSET(D79,-1,0):OFFSET(D76,1,0))</f>
        <v>0</v>
      </c>
      <c r="E76" s="131">
        <f ca="1">SUM(OFFSET(E79,-1,0):OFFSET(E76,1,0))</f>
        <v>0</v>
      </c>
      <c r="F76" s="533">
        <f ca="1">SUM(OFFSET(F79,-1,0):OFFSET(F76,1,0))</f>
        <v>0</v>
      </c>
      <c r="G76" s="131">
        <f ca="1">SUM(OFFSET(G79,-1,0):OFFSET(G76,1,0))</f>
        <v>0</v>
      </c>
      <c r="H76" s="168">
        <f t="shared" ca="1" si="24"/>
        <v>0</v>
      </c>
      <c r="I76" s="169" t="str">
        <f t="shared" ca="1" si="25"/>
        <v>-</v>
      </c>
      <c r="J76" s="794"/>
      <c r="K76" s="168">
        <f t="shared" ca="1" si="26"/>
        <v>0</v>
      </c>
      <c r="L76" s="169" t="str">
        <f t="shared" ca="1" si="27"/>
        <v>-</v>
      </c>
      <c r="M76" s="796"/>
    </row>
    <row r="77" spans="1:13" s="121" customFormat="1" ht="18.75" customHeight="1" x14ac:dyDescent="0.2">
      <c r="A77" s="68"/>
      <c r="B77" s="67"/>
      <c r="C77" s="132"/>
      <c r="D77" s="132"/>
      <c r="E77" s="132"/>
      <c r="F77" s="7"/>
      <c r="G77" s="132"/>
      <c r="H77" s="170">
        <f t="shared" si="24"/>
        <v>0</v>
      </c>
      <c r="I77" s="171" t="str">
        <f t="shared" si="25"/>
        <v>-</v>
      </c>
      <c r="J77" s="794"/>
      <c r="K77" s="170">
        <f t="shared" si="26"/>
        <v>0</v>
      </c>
      <c r="L77" s="171" t="str">
        <f t="shared" si="27"/>
        <v>-</v>
      </c>
      <c r="M77" s="796"/>
    </row>
    <row r="78" spans="1:13" s="121" customFormat="1" x14ac:dyDescent="0.2">
      <c r="A78" s="68"/>
      <c r="B78" s="67"/>
      <c r="C78" s="132"/>
      <c r="D78" s="132"/>
      <c r="E78" s="132"/>
      <c r="F78" s="7"/>
      <c r="G78" s="132"/>
      <c r="H78" s="170">
        <f t="shared" si="24"/>
        <v>0</v>
      </c>
      <c r="I78" s="171" t="str">
        <f t="shared" si="25"/>
        <v>-</v>
      </c>
      <c r="J78" s="794"/>
      <c r="K78" s="170">
        <f t="shared" si="26"/>
        <v>0</v>
      </c>
      <c r="L78" s="171" t="str">
        <f t="shared" si="27"/>
        <v>-</v>
      </c>
      <c r="M78" s="796"/>
    </row>
    <row r="79" spans="1:13" ht="39" customHeight="1" x14ac:dyDescent="0.2">
      <c r="A79" s="43">
        <v>15223</v>
      </c>
      <c r="B79" s="44" t="s">
        <v>564</v>
      </c>
      <c r="C79" s="131">
        <f ca="1">SUM(OFFSET(C82,-1,0):OFFSET(C79,1,0))</f>
        <v>0</v>
      </c>
      <c r="D79" s="131">
        <f ca="1">SUM(OFFSET(D82,-1,0):OFFSET(D79,1,0))</f>
        <v>0</v>
      </c>
      <c r="E79" s="131">
        <f ca="1">SUM(OFFSET(E82,-1,0):OFFSET(E79,1,0))</f>
        <v>0</v>
      </c>
      <c r="F79" s="533">
        <f ca="1">SUM(OFFSET(F82,-1,0):OFFSET(F79,1,0))</f>
        <v>0</v>
      </c>
      <c r="G79" s="131">
        <f ca="1">SUM(OFFSET(G82,-1,0):OFFSET(G79,1,0))</f>
        <v>0</v>
      </c>
      <c r="H79" s="168">
        <f t="shared" ca="1" si="24"/>
        <v>0</v>
      </c>
      <c r="I79" s="169" t="str">
        <f t="shared" ca="1" si="25"/>
        <v>-</v>
      </c>
      <c r="J79" s="794"/>
      <c r="K79" s="168">
        <f t="shared" ca="1" si="26"/>
        <v>0</v>
      </c>
      <c r="L79" s="169" t="str">
        <f t="shared" ca="1" si="27"/>
        <v>-</v>
      </c>
      <c r="M79" s="796"/>
    </row>
    <row r="80" spans="1:13" s="121" customFormat="1" ht="39" customHeight="1" x14ac:dyDescent="0.2">
      <c r="A80" s="68"/>
      <c r="B80" s="67"/>
      <c r="C80" s="132"/>
      <c r="D80" s="132"/>
      <c r="E80" s="132"/>
      <c r="F80" s="7"/>
      <c r="G80" s="132"/>
      <c r="H80" s="170">
        <f t="shared" si="24"/>
        <v>0</v>
      </c>
      <c r="I80" s="171" t="str">
        <f t="shared" si="25"/>
        <v>-</v>
      </c>
      <c r="J80" s="794"/>
      <c r="K80" s="170">
        <f t="shared" si="26"/>
        <v>0</v>
      </c>
      <c r="L80" s="171" t="str">
        <f t="shared" si="27"/>
        <v>-</v>
      </c>
      <c r="M80" s="796"/>
    </row>
    <row r="81" spans="1:13" s="121" customFormat="1" ht="39" customHeight="1" x14ac:dyDescent="0.2">
      <c r="A81" s="68"/>
      <c r="B81" s="67"/>
      <c r="C81" s="132"/>
      <c r="D81" s="132"/>
      <c r="E81" s="132"/>
      <c r="F81" s="7"/>
      <c r="G81" s="132"/>
      <c r="H81" s="170">
        <f t="shared" si="24"/>
        <v>0</v>
      </c>
      <c r="I81" s="171" t="str">
        <f t="shared" si="25"/>
        <v>-</v>
      </c>
      <c r="J81" s="794"/>
      <c r="K81" s="170">
        <f t="shared" si="26"/>
        <v>0</v>
      </c>
      <c r="L81" s="171" t="str">
        <f t="shared" si="27"/>
        <v>-</v>
      </c>
      <c r="M81" s="796"/>
    </row>
    <row r="82" spans="1:13" ht="37.5" x14ac:dyDescent="0.2">
      <c r="A82" s="43">
        <v>15224</v>
      </c>
      <c r="B82" s="44" t="s">
        <v>565</v>
      </c>
      <c r="C82" s="131">
        <f ca="1">SUM(OFFSET(C85,-1,0):OFFSET(C82,1,0))</f>
        <v>0</v>
      </c>
      <c r="D82" s="131">
        <f ca="1">SUM(OFFSET(D85,-1,0):OFFSET(D82,1,0))</f>
        <v>0</v>
      </c>
      <c r="E82" s="131">
        <f ca="1">SUM(OFFSET(E85,-1,0):OFFSET(E82,1,0))</f>
        <v>0</v>
      </c>
      <c r="F82" s="533">
        <f ca="1">SUM(OFFSET(F85,-1,0):OFFSET(F82,1,0))</f>
        <v>0</v>
      </c>
      <c r="G82" s="131">
        <f ca="1">SUM(OFFSET(G85,-1,0):OFFSET(G82,1,0))</f>
        <v>0</v>
      </c>
      <c r="H82" s="168">
        <f t="shared" ca="1" si="24"/>
        <v>0</v>
      </c>
      <c r="I82" s="169" t="str">
        <f t="shared" ca="1" si="25"/>
        <v>-</v>
      </c>
      <c r="J82" s="794"/>
      <c r="K82" s="168">
        <f t="shared" ca="1" si="26"/>
        <v>0</v>
      </c>
      <c r="L82" s="169" t="str">
        <f t="shared" ca="1" si="27"/>
        <v>-</v>
      </c>
      <c r="M82" s="796"/>
    </row>
    <row r="83" spans="1:13" s="121" customFormat="1" ht="18.75" customHeight="1" x14ac:dyDescent="0.2">
      <c r="A83" s="68"/>
      <c r="B83" s="67"/>
      <c r="C83" s="132"/>
      <c r="D83" s="132"/>
      <c r="E83" s="132"/>
      <c r="F83" s="7"/>
      <c r="G83" s="132"/>
      <c r="H83" s="170">
        <f t="shared" si="24"/>
        <v>0</v>
      </c>
      <c r="I83" s="171" t="str">
        <f t="shared" si="25"/>
        <v>-</v>
      </c>
      <c r="J83" s="794"/>
      <c r="K83" s="170">
        <f t="shared" si="26"/>
        <v>0</v>
      </c>
      <c r="L83" s="171" t="str">
        <f t="shared" si="27"/>
        <v>-</v>
      </c>
      <c r="M83" s="796"/>
    </row>
    <row r="84" spans="1:13" s="121" customFormat="1" x14ac:dyDescent="0.2">
      <c r="A84" s="68"/>
      <c r="B84" s="67"/>
      <c r="C84" s="132"/>
      <c r="D84" s="132"/>
      <c r="E84" s="132"/>
      <c r="F84" s="7"/>
      <c r="G84" s="132"/>
      <c r="H84" s="170">
        <f t="shared" si="24"/>
        <v>0</v>
      </c>
      <c r="I84" s="171" t="str">
        <f t="shared" si="25"/>
        <v>-</v>
      </c>
      <c r="J84" s="794"/>
      <c r="K84" s="170">
        <f t="shared" si="26"/>
        <v>0</v>
      </c>
      <c r="L84" s="171" t="str">
        <f t="shared" si="27"/>
        <v>-</v>
      </c>
      <c r="M84" s="796"/>
    </row>
    <row r="85" spans="1:13" ht="37.5" x14ac:dyDescent="0.2">
      <c r="A85" s="43">
        <v>15225</v>
      </c>
      <c r="B85" s="44" t="s">
        <v>566</v>
      </c>
      <c r="C85" s="131">
        <f ca="1">SUM(OFFSET(C88,-1,0):OFFSET(C85,1,0))</f>
        <v>699038</v>
      </c>
      <c r="D85" s="131">
        <f ca="1">SUM(OFFSET(D88,-1,0):OFFSET(D85,1,0))</f>
        <v>788931</v>
      </c>
      <c r="E85" s="131">
        <f ca="1">SUM(OFFSET(E88,-1,0):OFFSET(E85,1,0))</f>
        <v>699038</v>
      </c>
      <c r="F85" s="533">
        <f ca="1">SUM(OFFSET(F88,-1,0):OFFSET(F85,1,0))</f>
        <v>788931</v>
      </c>
      <c r="G85" s="131">
        <f ca="1">SUM(OFFSET(G88,-1,0):OFFSET(G85,1,0))</f>
        <v>1784741.1</v>
      </c>
      <c r="H85" s="168">
        <f t="shared" ca="1" si="24"/>
        <v>995810.10000000009</v>
      </c>
      <c r="I85" s="169">
        <f t="shared" ca="1" si="25"/>
        <v>1.2622271149187954</v>
      </c>
      <c r="J85" s="794"/>
      <c r="K85" s="168">
        <f t="shared" ca="1" si="26"/>
        <v>1085703.1000000001</v>
      </c>
      <c r="L85" s="169">
        <f t="shared" ca="1" si="27"/>
        <v>1.553138885153597</v>
      </c>
      <c r="M85" s="796"/>
    </row>
    <row r="86" spans="1:13" s="121" customFormat="1" ht="18.75" customHeight="1" x14ac:dyDescent="0.2">
      <c r="A86" s="68"/>
      <c r="B86" s="67"/>
      <c r="C86" s="132"/>
      <c r="D86" s="132"/>
      <c r="E86" s="132"/>
      <c r="F86" s="7"/>
      <c r="G86" s="132"/>
      <c r="H86" s="170">
        <f t="shared" si="24"/>
        <v>0</v>
      </c>
      <c r="I86" s="171" t="str">
        <f t="shared" si="25"/>
        <v>-</v>
      </c>
      <c r="J86" s="794"/>
      <c r="K86" s="170">
        <f t="shared" si="26"/>
        <v>0</v>
      </c>
      <c r="L86" s="171" t="str">
        <f t="shared" si="27"/>
        <v>-</v>
      </c>
      <c r="M86" s="796"/>
    </row>
    <row r="87" spans="1:13" s="121" customFormat="1" x14ac:dyDescent="0.2">
      <c r="A87" s="68"/>
      <c r="B87" s="67"/>
      <c r="C87" s="132">
        <v>699038</v>
      </c>
      <c r="D87" s="132">
        <v>788931</v>
      </c>
      <c r="E87" s="132">
        <v>699038</v>
      </c>
      <c r="F87" s="7">
        <v>788931</v>
      </c>
      <c r="G87" s="7">
        <v>1784741.1</v>
      </c>
      <c r="H87" s="170">
        <f t="shared" si="24"/>
        <v>995810.10000000009</v>
      </c>
      <c r="I87" s="171">
        <f t="shared" si="25"/>
        <v>1.2622271149187954</v>
      </c>
      <c r="J87" s="795"/>
      <c r="K87" s="170">
        <f t="shared" si="26"/>
        <v>1085703.1000000001</v>
      </c>
      <c r="L87" s="171">
        <f t="shared" si="27"/>
        <v>1.553138885153597</v>
      </c>
      <c r="M87" s="796"/>
    </row>
    <row r="88" spans="1:13" ht="19.5" customHeight="1" x14ac:dyDescent="0.2">
      <c r="A88" s="40">
        <v>15230</v>
      </c>
      <c r="B88" s="21" t="s">
        <v>314</v>
      </c>
      <c r="C88" s="41">
        <f t="shared" ref="C88:G88" ca="1" si="30">C89+C92+C95+C98+C101</f>
        <v>0</v>
      </c>
      <c r="D88" s="41">
        <f t="shared" ca="1" si="30"/>
        <v>0</v>
      </c>
      <c r="E88" s="41">
        <f t="shared" ref="E88:F88" ca="1" si="31">E89+E92+E95+E98+E101</f>
        <v>0</v>
      </c>
      <c r="F88" s="41">
        <f t="shared" ca="1" si="31"/>
        <v>0</v>
      </c>
      <c r="G88" s="41">
        <f t="shared" ca="1" si="30"/>
        <v>0</v>
      </c>
      <c r="H88" s="167">
        <f t="shared" ca="1" si="24"/>
        <v>0</v>
      </c>
      <c r="I88" s="153" t="str">
        <f t="shared" ca="1" si="25"/>
        <v>-</v>
      </c>
      <c r="J88" s="791" t="s">
        <v>850</v>
      </c>
      <c r="K88" s="167">
        <f t="shared" ca="1" si="26"/>
        <v>0</v>
      </c>
      <c r="L88" s="153" t="str">
        <f t="shared" ca="1" si="27"/>
        <v>-</v>
      </c>
      <c r="M88" s="537"/>
    </row>
    <row r="89" spans="1:13" ht="56.25" customHeight="1" x14ac:dyDescent="0.2">
      <c r="A89" s="43">
        <v>15231</v>
      </c>
      <c r="B89" s="44" t="s">
        <v>567</v>
      </c>
      <c r="C89" s="131">
        <f ca="1">SUM(OFFSET(C92,-1,0):OFFSET(C89,1,0))</f>
        <v>0</v>
      </c>
      <c r="D89" s="131">
        <f ca="1">SUM(OFFSET(D92,-1,0):OFFSET(D89,1,0))</f>
        <v>0</v>
      </c>
      <c r="E89" s="131">
        <f ca="1">SUM(OFFSET(E92,-1,0):OFFSET(E89,1,0))</f>
        <v>0</v>
      </c>
      <c r="F89" s="533">
        <f ca="1">SUM(OFFSET(F92,-1,0):OFFSET(F89,1,0))</f>
        <v>0</v>
      </c>
      <c r="G89" s="131">
        <f ca="1">SUM(OFFSET(G92,-1,0):OFFSET(G89,1,0))</f>
        <v>0</v>
      </c>
      <c r="H89" s="168">
        <f t="shared" ca="1" si="24"/>
        <v>0</v>
      </c>
      <c r="I89" s="169" t="str">
        <f t="shared" ca="1" si="25"/>
        <v>-</v>
      </c>
      <c r="J89" s="792"/>
      <c r="K89" s="168">
        <f t="shared" ca="1" si="26"/>
        <v>0</v>
      </c>
      <c r="L89" s="536" t="str">
        <f t="shared" ca="1" si="27"/>
        <v>-</v>
      </c>
      <c r="M89" s="538"/>
    </row>
    <row r="90" spans="1:13" s="121" customFormat="1" ht="18.75" customHeight="1" x14ac:dyDescent="0.2">
      <c r="A90" s="68"/>
      <c r="B90" s="67"/>
      <c r="C90" s="132"/>
      <c r="D90" s="132"/>
      <c r="E90" s="132"/>
      <c r="F90" s="7"/>
      <c r="G90" s="132"/>
      <c r="H90" s="170">
        <f t="shared" si="24"/>
        <v>0</v>
      </c>
      <c r="I90" s="171" t="str">
        <f t="shared" si="25"/>
        <v>-</v>
      </c>
      <c r="J90" s="792"/>
      <c r="K90" s="170">
        <f t="shared" si="26"/>
        <v>0</v>
      </c>
      <c r="L90" s="171" t="str">
        <f t="shared" si="27"/>
        <v>-</v>
      </c>
      <c r="M90" s="538"/>
    </row>
    <row r="91" spans="1:13" s="121" customFormat="1" ht="18.75" customHeight="1" x14ac:dyDescent="0.2">
      <c r="A91" s="68"/>
      <c r="B91" s="67"/>
      <c r="C91" s="132"/>
      <c r="D91" s="132"/>
      <c r="E91" s="132"/>
      <c r="F91" s="7"/>
      <c r="G91" s="132"/>
      <c r="H91" s="170">
        <f t="shared" si="24"/>
        <v>0</v>
      </c>
      <c r="I91" s="171" t="str">
        <f t="shared" si="25"/>
        <v>-</v>
      </c>
      <c r="J91" s="792"/>
      <c r="K91" s="170">
        <f t="shared" si="26"/>
        <v>0</v>
      </c>
      <c r="L91" s="171" t="str">
        <f t="shared" si="27"/>
        <v>-</v>
      </c>
      <c r="M91" s="538"/>
    </row>
    <row r="92" spans="1:13" ht="56.25" customHeight="1" x14ac:dyDescent="0.2">
      <c r="A92" s="43">
        <v>15232</v>
      </c>
      <c r="B92" s="44" t="s">
        <v>563</v>
      </c>
      <c r="C92" s="131">
        <f ca="1">SUM(OFFSET(C95,-1,0):OFFSET(C92,1,0))</f>
        <v>0</v>
      </c>
      <c r="D92" s="131">
        <f ca="1">SUM(OFFSET(D95,-1,0):OFFSET(D92,1,0))</f>
        <v>0</v>
      </c>
      <c r="E92" s="131">
        <f ca="1">SUM(OFFSET(E95,-1,0):OFFSET(E92,1,0))</f>
        <v>0</v>
      </c>
      <c r="F92" s="533">
        <f ca="1">SUM(OFFSET(F95,-1,0):OFFSET(F92,1,0))</f>
        <v>0</v>
      </c>
      <c r="G92" s="131">
        <f ca="1">SUM(OFFSET(G95,-1,0):OFFSET(G92,1,0))</f>
        <v>0</v>
      </c>
      <c r="H92" s="168">
        <f t="shared" ca="1" si="24"/>
        <v>0</v>
      </c>
      <c r="I92" s="169" t="str">
        <f t="shared" ca="1" si="25"/>
        <v>-</v>
      </c>
      <c r="J92" s="792"/>
      <c r="K92" s="168">
        <f t="shared" ca="1" si="26"/>
        <v>0</v>
      </c>
      <c r="L92" s="169" t="str">
        <f t="shared" ca="1" si="27"/>
        <v>-</v>
      </c>
      <c r="M92" s="538"/>
    </row>
    <row r="93" spans="1:13" s="121" customFormat="1" ht="18.75" customHeight="1" x14ac:dyDescent="0.2">
      <c r="A93" s="68"/>
      <c r="B93" s="67"/>
      <c r="C93" s="132"/>
      <c r="D93" s="132"/>
      <c r="E93" s="132"/>
      <c r="F93" s="7"/>
      <c r="G93" s="132"/>
      <c r="H93" s="170">
        <f t="shared" si="24"/>
        <v>0</v>
      </c>
      <c r="I93" s="171" t="str">
        <f t="shared" si="25"/>
        <v>-</v>
      </c>
      <c r="J93" s="792"/>
      <c r="K93" s="170">
        <f t="shared" si="26"/>
        <v>0</v>
      </c>
      <c r="L93" s="171" t="str">
        <f t="shared" si="27"/>
        <v>-</v>
      </c>
      <c r="M93" s="538"/>
    </row>
    <row r="94" spans="1:13" s="121" customFormat="1" ht="18.75" customHeight="1" x14ac:dyDescent="0.2">
      <c r="A94" s="68"/>
      <c r="B94" s="67"/>
      <c r="C94" s="132"/>
      <c r="D94" s="132"/>
      <c r="E94" s="132"/>
      <c r="F94" s="7"/>
      <c r="G94" s="132"/>
      <c r="H94" s="170">
        <f t="shared" si="24"/>
        <v>0</v>
      </c>
      <c r="I94" s="171" t="str">
        <f t="shared" si="25"/>
        <v>-</v>
      </c>
      <c r="J94" s="792"/>
      <c r="K94" s="170">
        <f t="shared" si="26"/>
        <v>0</v>
      </c>
      <c r="L94" s="171" t="str">
        <f t="shared" si="27"/>
        <v>-</v>
      </c>
      <c r="M94" s="538"/>
    </row>
    <row r="95" spans="1:13" ht="38.25" customHeight="1" x14ac:dyDescent="0.2">
      <c r="A95" s="43">
        <v>15233</v>
      </c>
      <c r="B95" s="44" t="s">
        <v>564</v>
      </c>
      <c r="C95" s="131">
        <f ca="1">SUM(OFFSET(C98,-1,0):OFFSET(C95,1,0))</f>
        <v>0</v>
      </c>
      <c r="D95" s="131">
        <f ca="1">SUM(OFFSET(D98,-1,0):OFFSET(D95,1,0))</f>
        <v>0</v>
      </c>
      <c r="E95" s="131">
        <f ca="1">SUM(OFFSET(E98,-1,0):OFFSET(E95,1,0))</f>
        <v>0</v>
      </c>
      <c r="F95" s="533">
        <f ca="1">SUM(OFFSET(F98,-1,0):OFFSET(F95,1,0))</f>
        <v>0</v>
      </c>
      <c r="G95" s="131">
        <f ca="1">SUM(OFFSET(G98,-1,0):OFFSET(G95,1,0))</f>
        <v>0</v>
      </c>
      <c r="H95" s="168">
        <f t="shared" ca="1" si="24"/>
        <v>0</v>
      </c>
      <c r="I95" s="169" t="str">
        <f t="shared" ca="1" si="25"/>
        <v>-</v>
      </c>
      <c r="J95" s="792"/>
      <c r="K95" s="168">
        <f t="shared" ca="1" si="26"/>
        <v>0</v>
      </c>
      <c r="L95" s="169" t="str">
        <f t="shared" ca="1" si="27"/>
        <v>-</v>
      </c>
      <c r="M95" s="538"/>
    </row>
    <row r="96" spans="1:13" s="121" customFormat="1" ht="38.25" customHeight="1" x14ac:dyDescent="0.2">
      <c r="A96" s="68"/>
      <c r="B96" s="67"/>
      <c r="C96" s="132"/>
      <c r="D96" s="132"/>
      <c r="E96" s="132"/>
      <c r="F96" s="7"/>
      <c r="G96" s="132"/>
      <c r="H96" s="170">
        <f t="shared" si="24"/>
        <v>0</v>
      </c>
      <c r="I96" s="171" t="str">
        <f t="shared" si="25"/>
        <v>-</v>
      </c>
      <c r="J96" s="792"/>
      <c r="K96" s="170">
        <f t="shared" si="26"/>
        <v>0</v>
      </c>
      <c r="L96" s="171" t="str">
        <f t="shared" si="27"/>
        <v>-</v>
      </c>
      <c r="M96" s="538"/>
    </row>
    <row r="97" spans="1:13" s="121" customFormat="1" ht="38.25" customHeight="1" x14ac:dyDescent="0.2">
      <c r="A97" s="68"/>
      <c r="B97" s="67"/>
      <c r="C97" s="132"/>
      <c r="D97" s="132"/>
      <c r="E97" s="132"/>
      <c r="F97" s="7"/>
      <c r="G97" s="132"/>
      <c r="H97" s="170">
        <f t="shared" si="24"/>
        <v>0</v>
      </c>
      <c r="I97" s="171" t="str">
        <f t="shared" si="25"/>
        <v>-</v>
      </c>
      <c r="J97" s="792"/>
      <c r="K97" s="170">
        <f t="shared" si="26"/>
        <v>0</v>
      </c>
      <c r="L97" s="171" t="str">
        <f t="shared" si="27"/>
        <v>-</v>
      </c>
      <c r="M97" s="538"/>
    </row>
    <row r="98" spans="1:13" ht="37.5" customHeight="1" x14ac:dyDescent="0.2">
      <c r="A98" s="43">
        <v>15234</v>
      </c>
      <c r="B98" s="44" t="s">
        <v>565</v>
      </c>
      <c r="C98" s="131">
        <f ca="1">SUM(OFFSET(C101,-1,0):OFFSET(C98,1,0))</f>
        <v>0</v>
      </c>
      <c r="D98" s="131">
        <f ca="1">SUM(OFFSET(D101,-1,0):OFFSET(D98,1,0))</f>
        <v>0</v>
      </c>
      <c r="E98" s="131">
        <f ca="1">SUM(OFFSET(E101,-1,0):OFFSET(E98,1,0))</f>
        <v>0</v>
      </c>
      <c r="F98" s="533">
        <f ca="1">SUM(OFFSET(F101,-1,0):OFFSET(F98,1,0))</f>
        <v>0</v>
      </c>
      <c r="G98" s="131">
        <f ca="1">SUM(OFFSET(G101,-1,0):OFFSET(G98,1,0))</f>
        <v>0</v>
      </c>
      <c r="H98" s="168">
        <f t="shared" ca="1" si="24"/>
        <v>0</v>
      </c>
      <c r="I98" s="169" t="str">
        <f t="shared" ca="1" si="25"/>
        <v>-</v>
      </c>
      <c r="J98" s="792"/>
      <c r="K98" s="168">
        <f t="shared" ca="1" si="26"/>
        <v>0</v>
      </c>
      <c r="L98" s="169" t="str">
        <f t="shared" ca="1" si="27"/>
        <v>-</v>
      </c>
      <c r="M98" s="538"/>
    </row>
    <row r="99" spans="1:13" s="121" customFormat="1" ht="18.75" customHeight="1" x14ac:dyDescent="0.2">
      <c r="A99" s="68"/>
      <c r="B99" s="67"/>
      <c r="C99" s="132"/>
      <c r="D99" s="132"/>
      <c r="E99" s="132"/>
      <c r="F99" s="7"/>
      <c r="G99" s="132"/>
      <c r="H99" s="170">
        <f t="shared" si="24"/>
        <v>0</v>
      </c>
      <c r="I99" s="171" t="str">
        <f t="shared" si="25"/>
        <v>-</v>
      </c>
      <c r="J99" s="792"/>
      <c r="K99" s="170">
        <f t="shared" si="26"/>
        <v>0</v>
      </c>
      <c r="L99" s="171" t="str">
        <f t="shared" si="27"/>
        <v>-</v>
      </c>
      <c r="M99" s="538"/>
    </row>
    <row r="100" spans="1:13" s="121" customFormat="1" ht="18.75" customHeight="1" x14ac:dyDescent="0.2">
      <c r="A100" s="68"/>
      <c r="B100" s="67"/>
      <c r="C100" s="132"/>
      <c r="D100" s="132"/>
      <c r="E100" s="132"/>
      <c r="F100" s="7"/>
      <c r="G100" s="132"/>
      <c r="H100" s="170">
        <f t="shared" si="24"/>
        <v>0</v>
      </c>
      <c r="I100" s="171" t="str">
        <f t="shared" si="25"/>
        <v>-</v>
      </c>
      <c r="J100" s="792"/>
      <c r="K100" s="170">
        <f t="shared" si="26"/>
        <v>0</v>
      </c>
      <c r="L100" s="171" t="str">
        <f t="shared" si="27"/>
        <v>-</v>
      </c>
      <c r="M100" s="538"/>
    </row>
    <row r="101" spans="1:13" ht="37.5" customHeight="1" x14ac:dyDescent="0.2">
      <c r="A101" s="43">
        <v>15234</v>
      </c>
      <c r="B101" s="44" t="s">
        <v>566</v>
      </c>
      <c r="C101" s="131">
        <f ca="1">SUM(OFFSET(C104,-1,0):OFFSET(C101,1,0))</f>
        <v>0</v>
      </c>
      <c r="D101" s="131">
        <f ca="1">SUM(OFFSET(D104,-1,0):OFFSET(D101,1,0))</f>
        <v>0</v>
      </c>
      <c r="E101" s="131">
        <f ca="1">SUM(OFFSET(E104,-1,0):OFFSET(E101,1,0))</f>
        <v>0</v>
      </c>
      <c r="F101" s="533">
        <f ca="1">SUM(OFFSET(F104,-1,0):OFFSET(F101,1,0))</f>
        <v>0</v>
      </c>
      <c r="G101" s="131">
        <f ca="1">SUM(OFFSET(G104,-1,0):OFFSET(G101,1,0))</f>
        <v>0</v>
      </c>
      <c r="H101" s="168">
        <f t="shared" ca="1" si="24"/>
        <v>0</v>
      </c>
      <c r="I101" s="169" t="str">
        <f t="shared" ca="1" si="25"/>
        <v>-</v>
      </c>
      <c r="J101" s="792"/>
      <c r="K101" s="168">
        <f t="shared" ca="1" si="26"/>
        <v>0</v>
      </c>
      <c r="L101" s="169" t="str">
        <f t="shared" ca="1" si="27"/>
        <v>-</v>
      </c>
      <c r="M101" s="538"/>
    </row>
    <row r="102" spans="1:13" s="121" customFormat="1" ht="18.75" customHeight="1" x14ac:dyDescent="0.2">
      <c r="A102" s="68"/>
      <c r="B102" s="67"/>
      <c r="C102" s="132"/>
      <c r="D102" s="132"/>
      <c r="E102" s="132"/>
      <c r="F102" s="7"/>
      <c r="G102" s="132"/>
      <c r="H102" s="170">
        <f t="shared" si="24"/>
        <v>0</v>
      </c>
      <c r="I102" s="171" t="str">
        <f t="shared" si="25"/>
        <v>-</v>
      </c>
      <c r="J102" s="792"/>
      <c r="K102" s="170">
        <f t="shared" si="26"/>
        <v>0</v>
      </c>
      <c r="L102" s="171" t="str">
        <f t="shared" si="27"/>
        <v>-</v>
      </c>
      <c r="M102" s="538"/>
    </row>
    <row r="103" spans="1:13" s="121" customFormat="1" ht="18.75" customHeight="1" x14ac:dyDescent="0.2">
      <c r="A103" s="68"/>
      <c r="B103" s="67"/>
      <c r="C103" s="132"/>
      <c r="D103" s="132"/>
      <c r="E103" s="132"/>
      <c r="F103" s="7"/>
      <c r="G103" s="132"/>
      <c r="H103" s="170">
        <f t="shared" si="24"/>
        <v>0</v>
      </c>
      <c r="I103" s="171" t="str">
        <f t="shared" si="25"/>
        <v>-</v>
      </c>
      <c r="J103" s="792"/>
      <c r="K103" s="170">
        <f t="shared" si="26"/>
        <v>0</v>
      </c>
      <c r="L103" s="171" t="str">
        <f t="shared" si="27"/>
        <v>-</v>
      </c>
      <c r="M103" s="538"/>
    </row>
    <row r="104" spans="1:13" ht="19.5" customHeight="1" x14ac:dyDescent="0.2">
      <c r="A104" s="45">
        <v>15300</v>
      </c>
      <c r="B104" s="46" t="s">
        <v>194</v>
      </c>
      <c r="C104" s="129">
        <v>0</v>
      </c>
      <c r="D104" s="129">
        <v>0</v>
      </c>
      <c r="E104" s="129">
        <v>0</v>
      </c>
      <c r="F104" s="129">
        <v>0</v>
      </c>
      <c r="G104" s="129">
        <v>0</v>
      </c>
      <c r="H104" s="164">
        <f t="shared" si="24"/>
        <v>0</v>
      </c>
      <c r="I104" s="160" t="str">
        <f t="shared" si="25"/>
        <v>-</v>
      </c>
      <c r="J104" s="386"/>
      <c r="K104" s="164">
        <f t="shared" si="26"/>
        <v>0</v>
      </c>
      <c r="L104" s="160" t="str">
        <f t="shared" si="27"/>
        <v>-</v>
      </c>
      <c r="M104" s="538"/>
    </row>
    <row r="105" spans="1:13" ht="37.5" customHeight="1" x14ac:dyDescent="0.2">
      <c r="A105" s="47">
        <v>16000</v>
      </c>
      <c r="B105" s="90" t="s">
        <v>325</v>
      </c>
      <c r="C105" s="539">
        <f t="shared" ref="C105:G105" ca="1" si="32">C47-C53</f>
        <v>-699038</v>
      </c>
      <c r="D105" s="539">
        <f t="shared" ca="1" si="32"/>
        <v>-788931</v>
      </c>
      <c r="E105" s="539">
        <f t="shared" ref="E105:F105" ca="1" si="33">E47-E53</f>
        <v>-699038</v>
      </c>
      <c r="F105" s="539">
        <f t="shared" ca="1" si="33"/>
        <v>-788931</v>
      </c>
      <c r="G105" s="539">
        <f t="shared" ca="1" si="32"/>
        <v>-1784741.1</v>
      </c>
      <c r="H105" s="540">
        <f t="shared" ca="1" si="24"/>
        <v>-995810.10000000009</v>
      </c>
      <c r="I105" s="141">
        <f t="shared" ca="1" si="25"/>
        <v>-1.2622271149187954</v>
      </c>
      <c r="J105" s="387"/>
      <c r="K105" s="95">
        <f t="shared" ca="1" si="26"/>
        <v>-1085703.1000000001</v>
      </c>
      <c r="L105" s="141">
        <f t="shared" ca="1" si="27"/>
        <v>-1.553138885153597</v>
      </c>
      <c r="M105" s="537"/>
    </row>
    <row r="106" spans="1:13" ht="18.75" customHeight="1" x14ac:dyDescent="0.2">
      <c r="A106" s="62" t="s">
        <v>310</v>
      </c>
      <c r="B106" s="760" t="s">
        <v>197</v>
      </c>
      <c r="C106" s="760"/>
      <c r="D106" s="760"/>
      <c r="E106" s="760"/>
      <c r="F106" s="760"/>
      <c r="G106" s="760"/>
      <c r="H106" s="760"/>
      <c r="I106" s="162" t="str">
        <f t="shared" si="25"/>
        <v>-</v>
      </c>
      <c r="J106" s="383"/>
      <c r="L106" s="162" t="str">
        <f t="shared" si="27"/>
        <v>-</v>
      </c>
      <c r="M106" s="538"/>
    </row>
    <row r="107" spans="1:13" ht="19.5" customHeight="1" x14ac:dyDescent="0.2">
      <c r="A107" s="48">
        <v>17000</v>
      </c>
      <c r="B107" s="541" t="s">
        <v>321</v>
      </c>
      <c r="C107" s="542">
        <f ca="1">C108+C109+C110</f>
        <v>30232</v>
      </c>
      <c r="D107" s="542">
        <f t="shared" ref="D107:G107" ca="1" si="34">D108+D109+D110</f>
        <v>415490</v>
      </c>
      <c r="E107" s="542">
        <f ca="1">E108+E109+E110</f>
        <v>30232</v>
      </c>
      <c r="F107" s="542">
        <f t="shared" ref="F107" ca="1" si="35">F108+F109+F110</f>
        <v>415490</v>
      </c>
      <c r="G107" s="542">
        <f t="shared" ca="1" si="34"/>
        <v>432103.82</v>
      </c>
      <c r="H107" s="543">
        <f t="shared" ref="H107:H111" ca="1" si="36">G107-F107</f>
        <v>16613.820000000007</v>
      </c>
      <c r="I107" s="141">
        <f t="shared" ca="1" si="25"/>
        <v>3.9986088714529848E-2</v>
      </c>
      <c r="J107" s="387"/>
      <c r="K107" s="95">
        <f t="shared" ref="K107:K120" ca="1" si="37">G107-E107</f>
        <v>401871.82</v>
      </c>
      <c r="L107" s="141">
        <f t="shared" ca="1" si="27"/>
        <v>13.292928684837259</v>
      </c>
      <c r="M107" s="537"/>
    </row>
    <row r="108" spans="1:13" ht="56.25" customHeight="1" x14ac:dyDescent="0.2">
      <c r="A108" s="49">
        <v>17100</v>
      </c>
      <c r="B108" s="50" t="s">
        <v>199</v>
      </c>
      <c r="C108" s="127"/>
      <c r="D108" s="127"/>
      <c r="E108" s="127"/>
      <c r="F108" s="127"/>
      <c r="G108" s="127"/>
      <c r="H108" s="159">
        <f t="shared" si="36"/>
        <v>0</v>
      </c>
      <c r="I108" s="160" t="str">
        <f t="shared" si="25"/>
        <v>-</v>
      </c>
      <c r="J108" s="388"/>
      <c r="K108" s="159">
        <f t="shared" si="37"/>
        <v>0</v>
      </c>
      <c r="L108" s="160" t="str">
        <f t="shared" si="27"/>
        <v>-</v>
      </c>
      <c r="M108" s="538"/>
    </row>
    <row r="109" spans="1:13" ht="19.5" customHeight="1" x14ac:dyDescent="0.2">
      <c r="A109" s="49">
        <v>17200</v>
      </c>
      <c r="B109" s="50" t="s">
        <v>320</v>
      </c>
      <c r="C109" s="127"/>
      <c r="D109" s="127"/>
      <c r="E109" s="127"/>
      <c r="F109" s="127"/>
      <c r="G109" s="127"/>
      <c r="H109" s="159">
        <f t="shared" si="36"/>
        <v>0</v>
      </c>
      <c r="I109" s="160" t="str">
        <f t="shared" si="25"/>
        <v>-</v>
      </c>
      <c r="J109" s="388"/>
      <c r="K109" s="159">
        <f t="shared" si="37"/>
        <v>0</v>
      </c>
      <c r="L109" s="160" t="str">
        <f t="shared" si="27"/>
        <v>-</v>
      </c>
      <c r="M109" s="538"/>
    </row>
    <row r="110" spans="1:13" ht="37.5" customHeight="1" x14ac:dyDescent="0.2">
      <c r="A110" s="30">
        <v>17300</v>
      </c>
      <c r="B110" s="31" t="s">
        <v>198</v>
      </c>
      <c r="C110" s="32">
        <f t="shared" ref="C110:G110" ca="1" si="38">C111+C114+C117+C120+C123</f>
        <v>30232</v>
      </c>
      <c r="D110" s="32">
        <f t="shared" ca="1" si="38"/>
        <v>415490</v>
      </c>
      <c r="E110" s="32">
        <f t="shared" ref="E110:F110" ca="1" si="39">E111+E114+E117+E120+E123</f>
        <v>30232</v>
      </c>
      <c r="F110" s="32">
        <f t="shared" ca="1" si="39"/>
        <v>415490</v>
      </c>
      <c r="G110" s="32">
        <f t="shared" ca="1" si="38"/>
        <v>432103.82</v>
      </c>
      <c r="H110" s="95">
        <f t="shared" ca="1" si="36"/>
        <v>16613.820000000007</v>
      </c>
      <c r="I110" s="141">
        <f t="shared" ca="1" si="25"/>
        <v>3.9986088714529848E-2</v>
      </c>
      <c r="J110" s="768"/>
      <c r="K110" s="95">
        <f t="shared" ca="1" si="37"/>
        <v>401871.82</v>
      </c>
      <c r="L110" s="141">
        <f t="shared" ca="1" si="27"/>
        <v>13.292928684837259</v>
      </c>
      <c r="M110" s="537"/>
    </row>
    <row r="111" spans="1:13" ht="56.25" customHeight="1" x14ac:dyDescent="0.2">
      <c r="A111" s="51">
        <v>17310</v>
      </c>
      <c r="B111" s="52" t="s">
        <v>568</v>
      </c>
      <c r="C111" s="133">
        <f ca="1">SUM(OFFSET(C114,-1,0):OFFSET(C111,1,0))</f>
        <v>0</v>
      </c>
      <c r="D111" s="133">
        <f ca="1">SUM(OFFSET(D114,-1,0):OFFSET(D111,1,0))</f>
        <v>0</v>
      </c>
      <c r="E111" s="133">
        <f ca="1">SUM(OFFSET(E114,-1,0):OFFSET(E111,1,0))</f>
        <v>0</v>
      </c>
      <c r="F111" s="133">
        <f ca="1">SUM(OFFSET(F114,-1,0):OFFSET(F111,1,0))</f>
        <v>0</v>
      </c>
      <c r="G111" s="133">
        <f ca="1">SUM(OFFSET(G114,-1,0):OFFSET(G111,1,0))</f>
        <v>0</v>
      </c>
      <c r="H111" s="17">
        <f t="shared" ca="1" si="36"/>
        <v>0</v>
      </c>
      <c r="I111" s="140" t="str">
        <f t="shared" ca="1" si="25"/>
        <v>-</v>
      </c>
      <c r="J111" s="769"/>
      <c r="K111" s="17">
        <f t="shared" ca="1" si="37"/>
        <v>0</v>
      </c>
      <c r="L111" s="140" t="str">
        <f t="shared" ca="1" si="27"/>
        <v>-</v>
      </c>
      <c r="M111" s="771" t="s">
        <v>853</v>
      </c>
    </row>
    <row r="112" spans="1:13" s="121" customFormat="1" ht="18.75" customHeight="1" x14ac:dyDescent="0.2">
      <c r="A112" s="69"/>
      <c r="B112" s="70"/>
      <c r="C112" s="14"/>
      <c r="D112" s="14"/>
      <c r="E112" s="14"/>
      <c r="F112" s="14"/>
      <c r="G112" s="14"/>
      <c r="H112" s="145"/>
      <c r="I112" s="146" t="str">
        <f t="shared" si="25"/>
        <v>-</v>
      </c>
      <c r="J112" s="769"/>
      <c r="K112" s="145">
        <f t="shared" si="37"/>
        <v>0</v>
      </c>
      <c r="L112" s="146" t="str">
        <f t="shared" si="27"/>
        <v>-</v>
      </c>
      <c r="M112" s="789"/>
    </row>
    <row r="113" spans="1:13" s="121" customFormat="1" ht="18.75" customHeight="1" x14ac:dyDescent="0.2">
      <c r="A113" s="69"/>
      <c r="B113" s="70"/>
      <c r="C113" s="16"/>
      <c r="D113" s="16"/>
      <c r="E113" s="16"/>
      <c r="F113" s="16"/>
      <c r="G113" s="16"/>
      <c r="H113" s="145">
        <f t="shared" ref="H113:H140" si="40">G113-F113</f>
        <v>0</v>
      </c>
      <c r="I113" s="146" t="str">
        <f t="shared" si="25"/>
        <v>-</v>
      </c>
      <c r="J113" s="769"/>
      <c r="K113" s="145">
        <f t="shared" si="37"/>
        <v>0</v>
      </c>
      <c r="L113" s="146" t="str">
        <f t="shared" si="27"/>
        <v>-</v>
      </c>
      <c r="M113" s="789"/>
    </row>
    <row r="114" spans="1:13" ht="56.25" customHeight="1" x14ac:dyDescent="0.2">
      <c r="A114" s="51">
        <v>17320</v>
      </c>
      <c r="B114" s="53" t="s">
        <v>468</v>
      </c>
      <c r="C114" s="133">
        <v>30232</v>
      </c>
      <c r="D114" s="133">
        <v>415490</v>
      </c>
      <c r="E114" s="133">
        <v>30232</v>
      </c>
      <c r="F114" s="133">
        <v>415490</v>
      </c>
      <c r="G114" s="133">
        <f ca="1">SUM(OFFSET(G117,-1,0):OFFSET(G114,1,0))</f>
        <v>432103.82</v>
      </c>
      <c r="H114" s="17">
        <f t="shared" ca="1" si="40"/>
        <v>16613.820000000007</v>
      </c>
      <c r="I114" s="140">
        <f t="shared" ca="1" si="25"/>
        <v>3.9986088714529848E-2</v>
      </c>
      <c r="J114" s="769"/>
      <c r="K114" s="17">
        <f t="shared" ca="1" si="37"/>
        <v>401871.82</v>
      </c>
      <c r="L114" s="140">
        <f t="shared" ca="1" si="27"/>
        <v>13.292928684837259</v>
      </c>
      <c r="M114" s="789"/>
    </row>
    <row r="115" spans="1:13" s="121" customFormat="1" ht="18.75" customHeight="1" x14ac:dyDescent="0.2">
      <c r="A115" s="69"/>
      <c r="B115" s="71"/>
      <c r="C115" s="16"/>
      <c r="D115" s="16"/>
      <c r="E115" s="16"/>
      <c r="F115" s="16"/>
      <c r="G115" s="16"/>
      <c r="H115" s="145">
        <f t="shared" si="40"/>
        <v>0</v>
      </c>
      <c r="I115" s="146" t="str">
        <f t="shared" si="25"/>
        <v>-</v>
      </c>
      <c r="J115" s="769"/>
      <c r="K115" s="145">
        <f t="shared" si="37"/>
        <v>0</v>
      </c>
      <c r="L115" s="146" t="str">
        <f t="shared" si="27"/>
        <v>-</v>
      </c>
      <c r="M115" s="789"/>
    </row>
    <row r="116" spans="1:13" s="121" customFormat="1" ht="18.75" customHeight="1" x14ac:dyDescent="0.2">
      <c r="A116" s="69"/>
      <c r="B116" s="71"/>
      <c r="C116" s="16"/>
      <c r="D116" s="16"/>
      <c r="E116" s="16"/>
      <c r="F116" s="16"/>
      <c r="G116" s="16">
        <v>432103.82</v>
      </c>
      <c r="H116" s="145">
        <f t="shared" si="40"/>
        <v>432103.82</v>
      </c>
      <c r="I116" s="146" t="str">
        <f t="shared" si="25"/>
        <v>-</v>
      </c>
      <c r="J116" s="769"/>
      <c r="K116" s="145">
        <f t="shared" si="37"/>
        <v>432103.82</v>
      </c>
      <c r="L116" s="146" t="str">
        <f t="shared" si="27"/>
        <v>-</v>
      </c>
      <c r="M116" s="789"/>
    </row>
    <row r="117" spans="1:13" ht="56.25" customHeight="1" x14ac:dyDescent="0.2">
      <c r="A117" s="25">
        <v>17330</v>
      </c>
      <c r="B117" s="54" t="s">
        <v>569</v>
      </c>
      <c r="C117" s="133">
        <f ca="1">SUM(OFFSET(C120,-1,0):OFFSET(C117,1,0))</f>
        <v>0</v>
      </c>
      <c r="D117" s="133">
        <f ca="1">SUM(OFFSET(D120,-1,0):OFFSET(D117,1,0))</f>
        <v>0</v>
      </c>
      <c r="E117" s="133">
        <f ca="1">SUM(OFFSET(E120,-1,0):OFFSET(E117,1,0))</f>
        <v>0</v>
      </c>
      <c r="F117" s="133">
        <f ca="1">SUM(OFFSET(F120,-1,0):OFFSET(F117,1,0))</f>
        <v>0</v>
      </c>
      <c r="G117" s="133">
        <f ca="1">SUM(OFFSET(G120,-1,0):OFFSET(G117,1,0))</f>
        <v>0</v>
      </c>
      <c r="H117" s="17">
        <f t="shared" ca="1" si="40"/>
        <v>0</v>
      </c>
      <c r="I117" s="140" t="str">
        <f t="shared" ca="1" si="25"/>
        <v>-</v>
      </c>
      <c r="J117" s="769"/>
      <c r="K117" s="17">
        <f t="shared" ca="1" si="37"/>
        <v>0</v>
      </c>
      <c r="L117" s="140" t="str">
        <f t="shared" ca="1" si="27"/>
        <v>-</v>
      </c>
      <c r="M117" s="789"/>
    </row>
    <row r="118" spans="1:13" s="121" customFormat="1" ht="18.75" customHeight="1" x14ac:dyDescent="0.2">
      <c r="A118" s="72"/>
      <c r="B118" s="73"/>
      <c r="C118" s="16"/>
      <c r="D118" s="16"/>
      <c r="E118" s="16"/>
      <c r="F118" s="16"/>
      <c r="G118" s="16"/>
      <c r="H118" s="145">
        <f t="shared" si="40"/>
        <v>0</v>
      </c>
      <c r="I118" s="146" t="str">
        <f t="shared" si="25"/>
        <v>-</v>
      </c>
      <c r="J118" s="769"/>
      <c r="K118" s="145">
        <f t="shared" si="37"/>
        <v>0</v>
      </c>
      <c r="L118" s="146" t="str">
        <f t="shared" si="27"/>
        <v>-</v>
      </c>
      <c r="M118" s="789"/>
    </row>
    <row r="119" spans="1:13" s="121" customFormat="1" ht="18.75" customHeight="1" x14ac:dyDescent="0.2">
      <c r="A119" s="72"/>
      <c r="B119" s="73"/>
      <c r="C119" s="16"/>
      <c r="D119" s="16"/>
      <c r="E119" s="16"/>
      <c r="F119" s="16"/>
      <c r="G119" s="16"/>
      <c r="H119" s="145">
        <f t="shared" si="40"/>
        <v>0</v>
      </c>
      <c r="I119" s="146" t="str">
        <f t="shared" si="25"/>
        <v>-</v>
      </c>
      <c r="J119" s="769"/>
      <c r="K119" s="145">
        <f t="shared" si="37"/>
        <v>0</v>
      </c>
      <c r="L119" s="146" t="str">
        <f t="shared" si="27"/>
        <v>-</v>
      </c>
      <c r="M119" s="789"/>
    </row>
    <row r="120" spans="1:13" ht="56.25" customHeight="1" x14ac:dyDescent="0.2">
      <c r="A120" s="25">
        <v>17340</v>
      </c>
      <c r="B120" s="54" t="s">
        <v>570</v>
      </c>
      <c r="C120" s="133">
        <f ca="1">SUM(OFFSET(C123,-1,0):OFFSET(C120,1,0))</f>
        <v>0</v>
      </c>
      <c r="D120" s="133">
        <f ca="1">SUM(OFFSET(D123,-1,0):OFFSET(D120,1,0))</f>
        <v>0</v>
      </c>
      <c r="E120" s="133">
        <f ca="1">SUM(OFFSET(E123,-1,0):OFFSET(E120,1,0))</f>
        <v>0</v>
      </c>
      <c r="F120" s="133">
        <f ca="1">SUM(OFFSET(F123,-1,0):OFFSET(F120,1,0))</f>
        <v>0</v>
      </c>
      <c r="G120" s="133">
        <f ca="1">SUM(OFFSET(G123,-1,0):OFFSET(G120,1,0))</f>
        <v>0</v>
      </c>
      <c r="H120" s="17">
        <f t="shared" ca="1" si="40"/>
        <v>0</v>
      </c>
      <c r="I120" s="140" t="str">
        <f t="shared" ca="1" si="25"/>
        <v>-</v>
      </c>
      <c r="J120" s="769"/>
      <c r="K120" s="17">
        <f t="shared" ca="1" si="37"/>
        <v>0</v>
      </c>
      <c r="L120" s="140" t="str">
        <f t="shared" ca="1" si="27"/>
        <v>-</v>
      </c>
      <c r="M120" s="789"/>
    </row>
    <row r="121" spans="1:13" s="121" customFormat="1" ht="18.75" customHeight="1" x14ac:dyDescent="0.2">
      <c r="A121" s="72"/>
      <c r="B121" s="73"/>
      <c r="C121" s="14"/>
      <c r="D121" s="14"/>
      <c r="E121" s="14"/>
      <c r="F121" s="14"/>
      <c r="G121" s="14"/>
      <c r="H121" s="145">
        <f t="shared" si="40"/>
        <v>0</v>
      </c>
      <c r="I121" s="146" t="str">
        <f t="shared" si="25"/>
        <v>-</v>
      </c>
      <c r="J121" s="769"/>
      <c r="K121" s="145"/>
      <c r="L121" s="146" t="str">
        <f t="shared" si="27"/>
        <v>-</v>
      </c>
      <c r="M121" s="789"/>
    </row>
    <row r="122" spans="1:13" s="121" customFormat="1" ht="18.75" customHeight="1" x14ac:dyDescent="0.2">
      <c r="A122" s="72"/>
      <c r="B122" s="73"/>
      <c r="C122" s="16"/>
      <c r="D122" s="16"/>
      <c r="E122" s="16"/>
      <c r="F122" s="16"/>
      <c r="G122" s="16"/>
      <c r="H122" s="145">
        <f t="shared" si="40"/>
        <v>0</v>
      </c>
      <c r="I122" s="146" t="str">
        <f t="shared" si="25"/>
        <v>-</v>
      </c>
      <c r="J122" s="769"/>
      <c r="K122" s="145">
        <f t="shared" ref="K122:K139" si="41">G122-E122</f>
        <v>0</v>
      </c>
      <c r="L122" s="146" t="str">
        <f t="shared" si="27"/>
        <v>-</v>
      </c>
      <c r="M122" s="789"/>
    </row>
    <row r="123" spans="1:13" ht="37.5" customHeight="1" x14ac:dyDescent="0.2">
      <c r="A123" s="51">
        <v>17350</v>
      </c>
      <c r="B123" s="55" t="s">
        <v>571</v>
      </c>
      <c r="C123" s="133">
        <f ca="1">SUM(OFFSET(C126,-1,0):OFFSET(C123,1,0))</f>
        <v>0</v>
      </c>
      <c r="D123" s="133">
        <f ca="1">SUM(OFFSET(D126,-1,0):OFFSET(D123,1,0))</f>
        <v>0</v>
      </c>
      <c r="E123" s="133">
        <f ca="1">SUM(OFFSET(E126,-1,0):OFFSET(E123,1,0))</f>
        <v>0</v>
      </c>
      <c r="F123" s="133">
        <f ca="1">SUM(OFFSET(F126,-1,0):OFFSET(F123,1,0))</f>
        <v>0</v>
      </c>
      <c r="G123" s="133">
        <f ca="1">SUM(OFFSET(G126,-1,0):OFFSET(G123,1,0))</f>
        <v>0</v>
      </c>
      <c r="H123" s="17">
        <f t="shared" ca="1" si="40"/>
        <v>0</v>
      </c>
      <c r="I123" s="140" t="str">
        <f t="shared" ca="1" si="25"/>
        <v>-</v>
      </c>
      <c r="J123" s="769"/>
      <c r="K123" s="17">
        <f t="shared" ca="1" si="41"/>
        <v>0</v>
      </c>
      <c r="L123" s="140" t="str">
        <f t="shared" ca="1" si="27"/>
        <v>-</v>
      </c>
      <c r="M123" s="789"/>
    </row>
    <row r="124" spans="1:13" s="121" customFormat="1" ht="18.75" customHeight="1" x14ac:dyDescent="0.2">
      <c r="A124" s="69"/>
      <c r="B124" s="74"/>
      <c r="C124" s="16"/>
      <c r="D124" s="16"/>
      <c r="E124" s="16"/>
      <c r="F124" s="16"/>
      <c r="G124" s="16"/>
      <c r="H124" s="145">
        <f t="shared" si="40"/>
        <v>0</v>
      </c>
      <c r="I124" s="146" t="str">
        <f t="shared" si="25"/>
        <v>-</v>
      </c>
      <c r="J124" s="769"/>
      <c r="K124" s="145">
        <f t="shared" si="41"/>
        <v>0</v>
      </c>
      <c r="L124" s="146" t="str">
        <f t="shared" si="27"/>
        <v>-</v>
      </c>
      <c r="M124" s="789"/>
    </row>
    <row r="125" spans="1:13" s="121" customFormat="1" ht="18.75" customHeight="1" x14ac:dyDescent="0.2">
      <c r="A125" s="69"/>
      <c r="B125" s="74"/>
      <c r="C125" s="16"/>
      <c r="D125" s="16"/>
      <c r="E125" s="16"/>
      <c r="F125" s="16"/>
      <c r="G125" s="16"/>
      <c r="H125" s="145">
        <f t="shared" si="40"/>
        <v>0</v>
      </c>
      <c r="I125" s="146" t="str">
        <f t="shared" si="25"/>
        <v>-</v>
      </c>
      <c r="J125" s="770"/>
      <c r="K125" s="145">
        <f t="shared" si="41"/>
        <v>0</v>
      </c>
      <c r="L125" s="146" t="str">
        <f t="shared" si="27"/>
        <v>-</v>
      </c>
      <c r="M125" s="790"/>
    </row>
    <row r="126" spans="1:13" ht="19.5" customHeight="1" x14ac:dyDescent="0.2">
      <c r="A126" s="56">
        <v>18000</v>
      </c>
      <c r="B126" s="94" t="s">
        <v>322</v>
      </c>
      <c r="C126" s="32">
        <f>C127+C128+C129</f>
        <v>0</v>
      </c>
      <c r="D126" s="32">
        <f t="shared" ref="D126:G126" si="42">D127+D128+D129</f>
        <v>0</v>
      </c>
      <c r="E126" s="32">
        <f>E127+E128+E129</f>
        <v>0</v>
      </c>
      <c r="F126" s="32">
        <f t="shared" ref="F126" si="43">F127+F128+F129</f>
        <v>0</v>
      </c>
      <c r="G126" s="32">
        <f t="shared" si="42"/>
        <v>0</v>
      </c>
      <c r="H126" s="95">
        <f t="shared" si="40"/>
        <v>0</v>
      </c>
      <c r="I126" s="141" t="str">
        <f t="shared" si="25"/>
        <v>-</v>
      </c>
      <c r="J126" s="387"/>
      <c r="K126" s="95">
        <f t="shared" si="41"/>
        <v>0</v>
      </c>
      <c r="L126" s="141" t="str">
        <f t="shared" si="27"/>
        <v>-</v>
      </c>
      <c r="M126" s="537"/>
    </row>
    <row r="127" spans="1:13" ht="19.5" customHeight="1" x14ac:dyDescent="0.2">
      <c r="A127" s="57">
        <v>18100</v>
      </c>
      <c r="B127" s="58" t="s">
        <v>323</v>
      </c>
      <c r="C127" s="127"/>
      <c r="D127" s="127"/>
      <c r="E127" s="127"/>
      <c r="F127" s="127"/>
      <c r="G127" s="127"/>
      <c r="H127" s="159">
        <f t="shared" si="40"/>
        <v>0</v>
      </c>
      <c r="I127" s="160" t="str">
        <f t="shared" si="25"/>
        <v>-</v>
      </c>
      <c r="J127" s="388"/>
      <c r="K127" s="159">
        <f t="shared" si="41"/>
        <v>0</v>
      </c>
      <c r="L127" s="160" t="str">
        <f t="shared" si="27"/>
        <v>-</v>
      </c>
      <c r="M127" s="538"/>
    </row>
    <row r="128" spans="1:13" ht="37.5" customHeight="1" x14ac:dyDescent="0.2">
      <c r="A128" s="57">
        <v>18200</v>
      </c>
      <c r="B128" s="58" t="s">
        <v>200</v>
      </c>
      <c r="C128" s="127"/>
      <c r="D128" s="127"/>
      <c r="E128" s="127"/>
      <c r="F128" s="127"/>
      <c r="G128" s="127"/>
      <c r="H128" s="159">
        <f t="shared" si="40"/>
        <v>0</v>
      </c>
      <c r="I128" s="160" t="str">
        <f t="shared" si="25"/>
        <v>-</v>
      </c>
      <c r="J128" s="388"/>
      <c r="K128" s="159">
        <f t="shared" si="41"/>
        <v>0</v>
      </c>
      <c r="L128" s="160" t="str">
        <f t="shared" si="27"/>
        <v>-</v>
      </c>
      <c r="M128" s="538"/>
    </row>
    <row r="129" spans="1:14" ht="19.5" customHeight="1" x14ac:dyDescent="0.2">
      <c r="A129" s="57">
        <v>18300</v>
      </c>
      <c r="B129" s="58" t="s">
        <v>201</v>
      </c>
      <c r="C129" s="127"/>
      <c r="D129" s="127"/>
      <c r="E129" s="127"/>
      <c r="F129" s="127"/>
      <c r="G129" s="127"/>
      <c r="H129" s="159">
        <f t="shared" si="40"/>
        <v>0</v>
      </c>
      <c r="I129" s="160" t="str">
        <f t="shared" si="25"/>
        <v>-</v>
      </c>
      <c r="J129" s="388"/>
      <c r="K129" s="159">
        <f t="shared" si="41"/>
        <v>0</v>
      </c>
      <c r="L129" s="160" t="str">
        <f t="shared" si="27"/>
        <v>-</v>
      </c>
      <c r="M129" s="538"/>
    </row>
    <row r="130" spans="1:14" ht="37.5" customHeight="1" x14ac:dyDescent="0.2">
      <c r="A130" s="29">
        <v>19000</v>
      </c>
      <c r="B130" s="544" t="s">
        <v>324</v>
      </c>
      <c r="C130" s="32">
        <f t="shared" ref="C130:G130" ca="1" si="44">C107-C126</f>
        <v>30232</v>
      </c>
      <c r="D130" s="32">
        <f t="shared" ca="1" si="44"/>
        <v>415490</v>
      </c>
      <c r="E130" s="32">
        <f t="shared" ref="E130:F130" ca="1" si="45">E107-E126</f>
        <v>30232</v>
      </c>
      <c r="F130" s="32">
        <f t="shared" ca="1" si="45"/>
        <v>415490</v>
      </c>
      <c r="G130" s="32">
        <f t="shared" ca="1" si="44"/>
        <v>432103.82</v>
      </c>
      <c r="H130" s="95">
        <f t="shared" ca="1" si="40"/>
        <v>16613.820000000007</v>
      </c>
      <c r="I130" s="141">
        <f t="shared" ca="1" si="25"/>
        <v>3.9986088714529848E-2</v>
      </c>
      <c r="J130" s="387"/>
      <c r="K130" s="95">
        <f t="shared" ca="1" si="41"/>
        <v>401871.82</v>
      </c>
      <c r="L130" s="141">
        <f t="shared" ca="1" si="27"/>
        <v>13.292928684837259</v>
      </c>
      <c r="M130" s="537"/>
    </row>
    <row r="131" spans="1:14" ht="37.5" customHeight="1" x14ac:dyDescent="0.2">
      <c r="A131" s="49">
        <v>20100</v>
      </c>
      <c r="B131" s="59" t="s">
        <v>202</v>
      </c>
      <c r="C131" s="127"/>
      <c r="D131" s="75"/>
      <c r="E131" s="127"/>
      <c r="F131" s="75"/>
      <c r="G131" s="127"/>
      <c r="H131" s="159">
        <f t="shared" si="40"/>
        <v>0</v>
      </c>
      <c r="I131" s="160" t="str">
        <f t="shared" si="25"/>
        <v>-</v>
      </c>
      <c r="J131" s="388"/>
      <c r="K131" s="159">
        <f t="shared" si="41"/>
        <v>0</v>
      </c>
      <c r="L131" s="160" t="str">
        <f t="shared" si="27"/>
        <v>-</v>
      </c>
      <c r="M131" s="538"/>
    </row>
    <row r="132" spans="1:14" ht="37.5" customHeight="1" x14ac:dyDescent="0.2">
      <c r="A132" s="49">
        <v>20200</v>
      </c>
      <c r="B132" s="59" t="s">
        <v>203</v>
      </c>
      <c r="C132" s="127"/>
      <c r="D132" s="75"/>
      <c r="E132" s="127"/>
      <c r="F132" s="75"/>
      <c r="G132" s="127"/>
      <c r="H132" s="159">
        <f t="shared" si="40"/>
        <v>0</v>
      </c>
      <c r="I132" s="160" t="str">
        <f t="shared" si="25"/>
        <v>-</v>
      </c>
      <c r="J132" s="388"/>
      <c r="K132" s="159">
        <f t="shared" si="41"/>
        <v>0</v>
      </c>
      <c r="L132" s="160" t="str">
        <f t="shared" si="27"/>
        <v>-</v>
      </c>
      <c r="M132" s="538"/>
    </row>
    <row r="133" spans="1:14" ht="37.5" customHeight="1" x14ac:dyDescent="0.2">
      <c r="A133" s="28">
        <v>21000</v>
      </c>
      <c r="B133" s="31" t="s">
        <v>204</v>
      </c>
      <c r="C133" s="126">
        <f t="shared" ref="C133:D133" ca="1" si="46">C3+C45+C105+C130+C131+C132</f>
        <v>2652150</v>
      </c>
      <c r="D133" s="126">
        <f t="shared" ca="1" si="46"/>
        <v>3360490</v>
      </c>
      <c r="E133" s="126">
        <f t="shared" ref="E133:F133" ca="1" si="47">E3+E45+E105+E130+E131+E132</f>
        <v>2652149.79</v>
      </c>
      <c r="F133" s="126">
        <f t="shared" ca="1" si="47"/>
        <v>3360490</v>
      </c>
      <c r="G133" s="126">
        <f ca="1">G3+G45+G105+G130+G131+G132</f>
        <v>1845934.1799999934</v>
      </c>
      <c r="H133" s="82">
        <f t="shared" ca="1" si="40"/>
        <v>-1514555.8200000066</v>
      </c>
      <c r="I133" s="153">
        <f t="shared" ref="I133:I140" ca="1" si="48">IFERROR(H133/ABS(F133), "-")</f>
        <v>-0.4506949343696921</v>
      </c>
      <c r="J133" s="771" t="s">
        <v>849</v>
      </c>
      <c r="K133" s="82">
        <f t="shared" ca="1" si="41"/>
        <v>-806215.61000000662</v>
      </c>
      <c r="L133" s="153">
        <f t="shared" ref="L133:L140" ca="1" si="49">IFERROR(K133/ABS(E133), "-")</f>
        <v>-0.30398569984239338</v>
      </c>
      <c r="M133" s="771" t="s">
        <v>854</v>
      </c>
    </row>
    <row r="134" spans="1:14" ht="19.5" customHeight="1" x14ac:dyDescent="0.2">
      <c r="A134" s="60">
        <v>21100</v>
      </c>
      <c r="B134" s="61" t="s">
        <v>205</v>
      </c>
      <c r="C134" s="127"/>
      <c r="D134" s="76"/>
      <c r="E134" s="127"/>
      <c r="F134" s="76"/>
      <c r="G134" s="127"/>
      <c r="H134" s="159">
        <f t="shared" si="40"/>
        <v>0</v>
      </c>
      <c r="I134" s="160" t="str">
        <f t="shared" si="48"/>
        <v>-</v>
      </c>
      <c r="J134" s="772"/>
      <c r="K134" s="159">
        <f t="shared" si="41"/>
        <v>0</v>
      </c>
      <c r="L134" s="160" t="str">
        <f t="shared" si="49"/>
        <v>-</v>
      </c>
      <c r="M134" s="789"/>
    </row>
    <row r="135" spans="1:14" ht="19.5" customHeight="1" x14ac:dyDescent="0.2">
      <c r="A135" s="60">
        <v>21200</v>
      </c>
      <c r="B135" s="61" t="s">
        <v>206</v>
      </c>
      <c r="C135" s="127">
        <v>438188</v>
      </c>
      <c r="D135" s="76">
        <v>0</v>
      </c>
      <c r="E135" s="127">
        <v>438188</v>
      </c>
      <c r="F135" s="76">
        <v>0</v>
      </c>
      <c r="G135" s="127">
        <v>102055.85</v>
      </c>
      <c r="H135" s="159">
        <f t="shared" si="40"/>
        <v>102055.85</v>
      </c>
      <c r="I135" s="160" t="str">
        <f t="shared" si="48"/>
        <v>-</v>
      </c>
      <c r="J135" s="772"/>
      <c r="K135" s="159">
        <f t="shared" si="41"/>
        <v>-336132.15</v>
      </c>
      <c r="L135" s="160">
        <f t="shared" si="49"/>
        <v>-0.76709574429240424</v>
      </c>
      <c r="M135" s="789"/>
    </row>
    <row r="136" spans="1:14" ht="17.25" customHeight="1" x14ac:dyDescent="0.2">
      <c r="A136" s="60">
        <v>21300</v>
      </c>
      <c r="B136" s="61" t="s">
        <v>207</v>
      </c>
      <c r="C136" s="127"/>
      <c r="D136" s="76"/>
      <c r="E136" s="127"/>
      <c r="F136" s="76"/>
      <c r="G136" s="127"/>
      <c r="H136" s="159">
        <f t="shared" si="40"/>
        <v>0</v>
      </c>
      <c r="I136" s="160" t="str">
        <f t="shared" si="48"/>
        <v>-</v>
      </c>
      <c r="J136" s="772"/>
      <c r="K136" s="159">
        <f t="shared" si="41"/>
        <v>0</v>
      </c>
      <c r="L136" s="160" t="str">
        <f t="shared" si="49"/>
        <v>-</v>
      </c>
      <c r="M136" s="789"/>
    </row>
    <row r="137" spans="1:14" ht="19.5" customHeight="1" x14ac:dyDescent="0.2">
      <c r="A137" s="60">
        <v>21400</v>
      </c>
      <c r="B137" s="61" t="s">
        <v>208</v>
      </c>
      <c r="C137" s="127">
        <v>1166</v>
      </c>
      <c r="D137" s="76">
        <v>1166</v>
      </c>
      <c r="E137" s="127">
        <v>1166</v>
      </c>
      <c r="F137" s="76">
        <v>1166</v>
      </c>
      <c r="G137" s="127">
        <v>1167.48</v>
      </c>
      <c r="H137" s="159">
        <f t="shared" si="40"/>
        <v>1.4800000000000182</v>
      </c>
      <c r="I137" s="160">
        <f t="shared" si="48"/>
        <v>1.2692967409948699E-3</v>
      </c>
      <c r="J137" s="772"/>
      <c r="K137" s="159">
        <f t="shared" si="41"/>
        <v>1.4800000000000182</v>
      </c>
      <c r="L137" s="160">
        <f t="shared" si="49"/>
        <v>1.2692967409948699E-3</v>
      </c>
      <c r="M137" s="789"/>
    </row>
    <row r="138" spans="1:14" ht="19.5" customHeight="1" x14ac:dyDescent="0.2">
      <c r="A138" s="60">
        <v>21500</v>
      </c>
      <c r="B138" s="61" t="s">
        <v>209</v>
      </c>
      <c r="C138" s="127">
        <v>1171725</v>
      </c>
      <c r="D138" s="76">
        <v>2658253</v>
      </c>
      <c r="E138" s="127">
        <v>1171725</v>
      </c>
      <c r="F138" s="76">
        <v>2658253</v>
      </c>
      <c r="G138" s="127">
        <f>1742650.23+60</f>
        <v>1742710.23</v>
      </c>
      <c r="H138" s="159">
        <f t="shared" si="40"/>
        <v>-915542.77</v>
      </c>
      <c r="I138" s="160">
        <f t="shared" si="48"/>
        <v>-0.34441521179511508</v>
      </c>
      <c r="J138" s="772"/>
      <c r="K138" s="159">
        <f t="shared" si="41"/>
        <v>570985.23</v>
      </c>
      <c r="L138" s="160">
        <f t="shared" si="49"/>
        <v>0.48730310439736285</v>
      </c>
      <c r="M138" s="789"/>
    </row>
    <row r="139" spans="1:14" ht="19.5" customHeight="1" x14ac:dyDescent="0.2">
      <c r="A139" s="60">
        <v>21600</v>
      </c>
      <c r="B139" s="61" t="s">
        <v>210</v>
      </c>
      <c r="C139" s="127"/>
      <c r="D139" s="76"/>
      <c r="E139" s="127"/>
      <c r="F139" s="76"/>
      <c r="G139" s="127"/>
      <c r="H139" s="159">
        <f t="shared" si="40"/>
        <v>0</v>
      </c>
      <c r="I139" s="160" t="str">
        <f t="shared" si="48"/>
        <v>-</v>
      </c>
      <c r="J139" s="772"/>
      <c r="K139" s="159">
        <f t="shared" si="41"/>
        <v>0</v>
      </c>
      <c r="L139" s="160" t="str">
        <f t="shared" si="49"/>
        <v>-</v>
      </c>
      <c r="M139" s="789"/>
    </row>
    <row r="140" spans="1:14" ht="41.25" customHeight="1" x14ac:dyDescent="0.2">
      <c r="A140" s="60">
        <v>21700</v>
      </c>
      <c r="B140" s="61" t="s">
        <v>211</v>
      </c>
      <c r="C140" s="127"/>
      <c r="D140" s="76"/>
      <c r="E140" s="127"/>
      <c r="F140" s="76"/>
      <c r="G140" s="127"/>
      <c r="H140" s="159">
        <f t="shared" si="40"/>
        <v>0</v>
      </c>
      <c r="I140" s="160" t="str">
        <f t="shared" si="48"/>
        <v>-</v>
      </c>
      <c r="J140" s="773"/>
      <c r="K140" s="159">
        <f>G140-E140</f>
        <v>0</v>
      </c>
      <c r="L140" s="160" t="str">
        <f t="shared" si="49"/>
        <v>-</v>
      </c>
      <c r="M140" s="790"/>
    </row>
    <row r="141" spans="1:14" ht="19.5" customHeight="1" x14ac:dyDescent="0.2">
      <c r="A141" s="183"/>
      <c r="B141" s="184"/>
      <c r="C141" s="185"/>
      <c r="D141" s="186"/>
      <c r="E141" s="185"/>
      <c r="F141" s="185"/>
      <c r="G141" s="185"/>
      <c r="H141" s="187"/>
      <c r="I141" s="188"/>
      <c r="J141" s="189"/>
      <c r="K141" s="187"/>
      <c r="L141" s="188"/>
      <c r="M141" s="530"/>
      <c r="N141" s="545"/>
    </row>
    <row r="142" spans="1:14" ht="19.5" customHeight="1" x14ac:dyDescent="0.2">
      <c r="A142" s="190" t="s">
        <v>583</v>
      </c>
      <c r="B142" s="184"/>
      <c r="C142" s="185"/>
      <c r="D142" s="186"/>
      <c r="E142" s="185"/>
      <c r="F142" s="185"/>
      <c r="G142" s="185"/>
      <c r="H142" s="187"/>
      <c r="I142" s="188"/>
      <c r="J142" s="189"/>
      <c r="K142" s="187"/>
      <c r="L142" s="188"/>
      <c r="M142" s="530"/>
      <c r="N142" s="545"/>
    </row>
    <row r="143" spans="1:14" ht="37.5" customHeight="1" x14ac:dyDescent="0.2">
      <c r="A143" s="761" t="s">
        <v>573</v>
      </c>
      <c r="B143" s="761"/>
      <c r="C143" s="761"/>
      <c r="D143" s="761"/>
      <c r="E143" s="761"/>
      <c r="F143" s="761"/>
      <c r="G143" s="761"/>
      <c r="H143" s="761"/>
      <c r="L143" s="546"/>
      <c r="M143" s="530"/>
      <c r="N143" s="545"/>
    </row>
    <row r="144" spans="1:14" ht="22.5" customHeight="1" x14ac:dyDescent="0.2">
      <c r="A144" s="179" t="s">
        <v>648</v>
      </c>
      <c r="L144" s="546"/>
      <c r="M144" s="530"/>
      <c r="N144" s="545"/>
    </row>
    <row r="145" spans="1:14" ht="18.75" customHeight="1" x14ac:dyDescent="0.2">
      <c r="A145" s="2" t="s">
        <v>646</v>
      </c>
      <c r="L145" s="546"/>
      <c r="M145" s="530"/>
      <c r="N145" s="545"/>
    </row>
    <row r="146" spans="1:14" ht="18.75" customHeight="1" x14ac:dyDescent="0.2">
      <c r="L146" s="546"/>
      <c r="M146" s="530"/>
      <c r="N146" s="545"/>
    </row>
    <row r="147" spans="1:14" ht="18.75" customHeight="1" x14ac:dyDescent="0.2">
      <c r="L147" s="546"/>
      <c r="M147" s="530"/>
      <c r="N147" s="545"/>
    </row>
    <row r="148" spans="1:14" ht="18.75" customHeight="1" x14ac:dyDescent="0.2">
      <c r="L148" s="546"/>
      <c r="M148" s="530"/>
      <c r="N148" s="545"/>
    </row>
    <row r="149" spans="1:14" ht="18.75" customHeight="1" x14ac:dyDescent="0.2">
      <c r="L149" s="546"/>
      <c r="M149" s="530"/>
      <c r="N149" s="545"/>
    </row>
    <row r="150" spans="1:14" x14ac:dyDescent="0.2">
      <c r="L150" s="529"/>
      <c r="M150" s="530"/>
      <c r="N150" s="531"/>
    </row>
    <row r="151" spans="1:14" x14ac:dyDescent="0.2">
      <c r="L151" s="529"/>
      <c r="M151" s="530"/>
      <c r="N151" s="531"/>
    </row>
    <row r="152" spans="1:14" x14ac:dyDescent="0.2">
      <c r="L152" s="529"/>
      <c r="M152" s="530"/>
      <c r="N152" s="531"/>
    </row>
    <row r="153" spans="1:14" x14ac:dyDescent="0.2">
      <c r="L153" s="529"/>
      <c r="M153" s="530"/>
      <c r="N153" s="531"/>
    </row>
    <row r="154" spans="1:14" x14ac:dyDescent="0.2">
      <c r="L154" s="529"/>
      <c r="M154" s="530"/>
      <c r="N154" s="531"/>
    </row>
    <row r="155" spans="1:14" x14ac:dyDescent="0.2">
      <c r="L155" s="529"/>
      <c r="M155" s="530"/>
      <c r="N155" s="531"/>
    </row>
    <row r="156" spans="1:14" x14ac:dyDescent="0.2">
      <c r="L156" s="529"/>
      <c r="M156" s="530"/>
      <c r="N156" s="531"/>
    </row>
    <row r="157" spans="1:14" x14ac:dyDescent="0.2">
      <c r="L157" s="529"/>
      <c r="M157" s="530"/>
      <c r="N157" s="531"/>
    </row>
    <row r="158" spans="1:14" x14ac:dyDescent="0.2">
      <c r="L158" s="529"/>
      <c r="M158" s="531"/>
      <c r="N158" s="531"/>
    </row>
  </sheetData>
  <sheetProtection formatColumns="0" formatRows="0" insertRows="0" deleteRows="0"/>
  <mergeCells count="25">
    <mergeCell ref="M133:M140"/>
    <mergeCell ref="J88:J103"/>
    <mergeCell ref="M111:M125"/>
    <mergeCell ref="M56:M71"/>
    <mergeCell ref="J72:J87"/>
    <mergeCell ref="M72:M87"/>
    <mergeCell ref="M18:M22"/>
    <mergeCell ref="J18:J22"/>
    <mergeCell ref="J24:J26"/>
    <mergeCell ref="M24:M26"/>
    <mergeCell ref="J27:J30"/>
    <mergeCell ref="M27:M30"/>
    <mergeCell ref="M7:M11"/>
    <mergeCell ref="J12:J14"/>
    <mergeCell ref="M12:M14"/>
    <mergeCell ref="J15:J17"/>
    <mergeCell ref="M15:M17"/>
    <mergeCell ref="B4:H4"/>
    <mergeCell ref="B46:H46"/>
    <mergeCell ref="B106:H106"/>
    <mergeCell ref="A143:H143"/>
    <mergeCell ref="J7:J11"/>
    <mergeCell ref="J56:J71"/>
    <mergeCell ref="J110:J125"/>
    <mergeCell ref="J133:J140"/>
  </mergeCells>
  <pageMargins left="0.70866141732283472" right="0.70866141732283472" top="0.76470588235294112" bottom="0.74803149606299213" header="0.31496062992125984" footer="0.31496062992125984"/>
  <pageSetup paperSize="9" scale="29" fitToHeight="2" orientation="portrait" verticalDpi="0" r:id="rId1"/>
  <headerFooter>
    <oddHeader xml:space="preserve">&amp;C&amp;"Times New Roman,Bold"&amp;14
Naudas plūsma&amp;R&amp;"Times New Roman,Regular"&amp;14 4.pielikums
</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5">
    <tabColor rgb="FF92D050"/>
    <pageSetUpPr fitToPage="1"/>
  </sheetPr>
  <dimension ref="A1:O107"/>
  <sheetViews>
    <sheetView tabSelected="1" topLeftCell="A28" zoomScale="80" zoomScaleNormal="80" zoomScalePageLayoutView="40" workbookViewId="0">
      <selection activeCell="H39" sqref="H39"/>
    </sheetView>
  </sheetViews>
  <sheetFormatPr defaultRowHeight="18.75" x14ac:dyDescent="0.2"/>
  <cols>
    <col min="1" max="1" width="9.5703125" style="27" customWidth="1"/>
    <col min="2" max="2" width="50.28515625" style="27" customWidth="1"/>
    <col min="3" max="3" width="15.85546875" style="27" customWidth="1"/>
    <col min="4" max="4" width="15.5703125" style="65" customWidth="1"/>
    <col min="5" max="5" width="15.85546875" style="27" customWidth="1"/>
    <col min="6" max="6" width="15.5703125" style="65" customWidth="1"/>
    <col min="7" max="7" width="20.5703125" style="27" customWidth="1"/>
    <col min="8" max="8" width="22.5703125" style="27" customWidth="1"/>
    <col min="9" max="9" width="19.28515625" style="112" customWidth="1"/>
    <col min="10" max="10" width="37.28515625" style="112" customWidth="1"/>
    <col min="11" max="11" width="27" style="112" customWidth="1"/>
    <col min="12" max="12" width="22.85546875" style="27" customWidth="1"/>
    <col min="13" max="13" width="30.5703125" style="27" customWidth="1"/>
    <col min="14" max="16" width="9.140625" style="27" customWidth="1"/>
    <col min="17" max="16384" width="9.140625" style="27"/>
  </cols>
  <sheetData>
    <row r="1" spans="1:15" ht="131.25" x14ac:dyDescent="0.2">
      <c r="A1" s="25" t="s">
        <v>0</v>
      </c>
      <c r="B1" s="26" t="s">
        <v>282</v>
      </c>
      <c r="C1" s="1" t="s">
        <v>654</v>
      </c>
      <c r="D1" s="1" t="s">
        <v>655</v>
      </c>
      <c r="E1" s="1" t="s">
        <v>795</v>
      </c>
      <c r="F1" s="1" t="s">
        <v>796</v>
      </c>
      <c r="G1" s="1" t="s">
        <v>798</v>
      </c>
      <c r="H1" s="18" t="s">
        <v>656</v>
      </c>
      <c r="I1" s="18" t="s">
        <v>659</v>
      </c>
      <c r="J1" s="122" t="s">
        <v>649</v>
      </c>
      <c r="K1" s="18" t="s">
        <v>657</v>
      </c>
      <c r="L1" s="18" t="s">
        <v>658</v>
      </c>
      <c r="M1" s="122" t="s">
        <v>649</v>
      </c>
    </row>
    <row r="2" spans="1:15" x14ac:dyDescent="0.2">
      <c r="A2" s="19">
        <v>1</v>
      </c>
      <c r="B2" s="1">
        <v>2</v>
      </c>
      <c r="C2" s="1">
        <v>3</v>
      </c>
      <c r="D2" s="1">
        <v>4</v>
      </c>
      <c r="E2" s="1">
        <v>5</v>
      </c>
      <c r="F2" s="1">
        <v>6</v>
      </c>
      <c r="G2" s="1">
        <v>7</v>
      </c>
      <c r="H2" s="18">
        <v>8</v>
      </c>
      <c r="I2" s="22">
        <v>9</v>
      </c>
      <c r="J2" s="1">
        <v>10</v>
      </c>
      <c r="K2" s="23">
        <v>11</v>
      </c>
      <c r="L2" s="22">
        <v>12</v>
      </c>
      <c r="M2" s="1">
        <v>13</v>
      </c>
    </row>
    <row r="3" spans="1:15" ht="19.5" x14ac:dyDescent="0.2">
      <c r="A3" s="77" t="s">
        <v>281</v>
      </c>
      <c r="B3" s="78" t="s">
        <v>469</v>
      </c>
      <c r="C3" s="79" t="s">
        <v>216</v>
      </c>
      <c r="D3" s="79" t="s">
        <v>216</v>
      </c>
      <c r="E3" s="79" t="s">
        <v>216</v>
      </c>
      <c r="F3" s="79" t="s">
        <v>216</v>
      </c>
      <c r="G3" s="80" t="s">
        <v>216</v>
      </c>
      <c r="H3" s="80" t="s">
        <v>216</v>
      </c>
      <c r="I3" s="81" t="s">
        <v>216</v>
      </c>
      <c r="J3" s="81" t="s">
        <v>216</v>
      </c>
      <c r="K3" s="82" t="s">
        <v>216</v>
      </c>
      <c r="L3" s="82" t="s">
        <v>216</v>
      </c>
      <c r="M3" s="82" t="s">
        <v>216</v>
      </c>
    </row>
    <row r="4" spans="1:15" ht="75" x14ac:dyDescent="0.2">
      <c r="A4" s="83" t="s">
        <v>280</v>
      </c>
      <c r="B4" s="84" t="s">
        <v>470</v>
      </c>
      <c r="C4" s="85" t="s">
        <v>216</v>
      </c>
      <c r="D4" s="85" t="s">
        <v>216</v>
      </c>
      <c r="E4" s="85" t="s">
        <v>216</v>
      </c>
      <c r="F4" s="85" t="s">
        <v>216</v>
      </c>
      <c r="G4" s="86" t="s">
        <v>216</v>
      </c>
      <c r="H4" s="86" t="s">
        <v>216</v>
      </c>
      <c r="I4" s="87" t="s">
        <v>216</v>
      </c>
      <c r="J4" s="87" t="s">
        <v>216</v>
      </c>
      <c r="K4" s="87" t="s">
        <v>216</v>
      </c>
      <c r="L4" s="87" t="s">
        <v>216</v>
      </c>
      <c r="M4" s="87" t="s">
        <v>216</v>
      </c>
    </row>
    <row r="5" spans="1:15" s="396" customFormat="1" ht="122.25" customHeight="1" x14ac:dyDescent="0.2">
      <c r="A5" s="390" t="s">
        <v>279</v>
      </c>
      <c r="B5" s="391" t="s">
        <v>471</v>
      </c>
      <c r="C5" s="392">
        <v>30004</v>
      </c>
      <c r="D5" s="392">
        <v>30604</v>
      </c>
      <c r="E5" s="392">
        <v>30004</v>
      </c>
      <c r="F5" s="392">
        <v>30604</v>
      </c>
      <c r="G5" s="393">
        <v>24530</v>
      </c>
      <c r="H5" s="394">
        <f>G5-F5</f>
        <v>-6074</v>
      </c>
      <c r="I5" s="395">
        <f>IFERROR(H5/ABS(F5), "-")</f>
        <v>-0.19847078813227029</v>
      </c>
      <c r="J5" s="355" t="s">
        <v>749</v>
      </c>
      <c r="K5" s="147">
        <f>G5-E5</f>
        <v>-5474</v>
      </c>
      <c r="L5" s="309">
        <f>IFERROR(K5/ABS(E5), "-")</f>
        <v>-0.18244234102119716</v>
      </c>
      <c r="M5" s="355" t="s">
        <v>749</v>
      </c>
      <c r="O5" s="1"/>
    </row>
    <row r="6" spans="1:15" s="396" customFormat="1" ht="94.5" x14ac:dyDescent="0.2">
      <c r="A6" s="390" t="s">
        <v>278</v>
      </c>
      <c r="B6" s="397" t="s">
        <v>782</v>
      </c>
      <c r="C6" s="340">
        <v>26537</v>
      </c>
      <c r="D6" s="340">
        <v>27068</v>
      </c>
      <c r="E6" s="340">
        <v>26537</v>
      </c>
      <c r="F6" s="340">
        <v>27068</v>
      </c>
      <c r="G6" s="15">
        <v>21413</v>
      </c>
      <c r="H6" s="147">
        <f t="shared" ref="H6:H14" si="0">G6-F6</f>
        <v>-5655</v>
      </c>
      <c r="I6" s="395">
        <f t="shared" ref="I6:I14" si="1">IFERROR(H6/ABS(F6), "-")</f>
        <v>-0.20891827988769027</v>
      </c>
      <c r="J6" s="355" t="s">
        <v>749</v>
      </c>
      <c r="K6" s="147">
        <f t="shared" ref="K6:K14" si="2">G6-E6</f>
        <v>-5124</v>
      </c>
      <c r="L6" s="309">
        <f t="shared" ref="L6:L14" si="3">IFERROR(K6/ABS(E6), "-")</f>
        <v>-0.19308889475072541</v>
      </c>
      <c r="M6" s="355" t="s">
        <v>749</v>
      </c>
    </row>
    <row r="7" spans="1:15" s="396" customFormat="1" ht="94.5" x14ac:dyDescent="0.2">
      <c r="A7" s="390" t="s">
        <v>277</v>
      </c>
      <c r="B7" s="397" t="s">
        <v>783</v>
      </c>
      <c r="C7" s="340">
        <v>3467</v>
      </c>
      <c r="D7" s="340">
        <v>3536</v>
      </c>
      <c r="E7" s="340">
        <v>3467</v>
      </c>
      <c r="F7" s="340">
        <v>3536</v>
      </c>
      <c r="G7" s="15">
        <v>3117</v>
      </c>
      <c r="H7" s="147">
        <f t="shared" si="0"/>
        <v>-419</v>
      </c>
      <c r="I7" s="395">
        <f t="shared" si="1"/>
        <v>-0.11849547511312217</v>
      </c>
      <c r="J7" s="355" t="s">
        <v>749</v>
      </c>
      <c r="K7" s="147">
        <f t="shared" si="2"/>
        <v>-350</v>
      </c>
      <c r="L7" s="309">
        <f t="shared" si="3"/>
        <v>-0.1009518315546582</v>
      </c>
      <c r="M7" s="355" t="s">
        <v>749</v>
      </c>
    </row>
    <row r="8" spans="1:15" s="396" customFormat="1" ht="56.25" x14ac:dyDescent="0.2">
      <c r="A8" s="390" t="s">
        <v>276</v>
      </c>
      <c r="B8" s="397" t="s">
        <v>784</v>
      </c>
      <c r="C8" s="398">
        <v>0</v>
      </c>
      <c r="D8" s="398">
        <v>0</v>
      </c>
      <c r="E8" s="398">
        <v>0</v>
      </c>
      <c r="F8" s="398">
        <v>0</v>
      </c>
      <c r="G8" s="393"/>
      <c r="H8" s="394">
        <f t="shared" si="0"/>
        <v>0</v>
      </c>
      <c r="I8" s="395" t="str">
        <f t="shared" si="1"/>
        <v>-</v>
      </c>
      <c r="J8" s="347"/>
      <c r="K8" s="147">
        <f t="shared" si="2"/>
        <v>0</v>
      </c>
      <c r="L8" s="309" t="str">
        <f t="shared" si="3"/>
        <v>-</v>
      </c>
      <c r="M8" s="134"/>
    </row>
    <row r="9" spans="1:15" s="396" customFormat="1" ht="56.25" x14ac:dyDescent="0.2">
      <c r="A9" s="399" t="s">
        <v>275</v>
      </c>
      <c r="B9" s="400" t="s">
        <v>472</v>
      </c>
      <c r="C9" s="340"/>
      <c r="D9" s="340"/>
      <c r="E9" s="340"/>
      <c r="F9" s="340"/>
      <c r="G9" s="15"/>
      <c r="H9" s="147">
        <f t="shared" si="0"/>
        <v>0</v>
      </c>
      <c r="I9" s="395" t="str">
        <f t="shared" si="1"/>
        <v>-</v>
      </c>
      <c r="J9" s="347"/>
      <c r="K9" s="147">
        <f t="shared" si="2"/>
        <v>0</v>
      </c>
      <c r="L9" s="309" t="str">
        <f t="shared" si="3"/>
        <v>-</v>
      </c>
      <c r="M9" s="134"/>
    </row>
    <row r="10" spans="1:15" s="396" customFormat="1" ht="37.5" x14ac:dyDescent="0.2">
      <c r="A10" s="399" t="s">
        <v>274</v>
      </c>
      <c r="B10" s="400" t="s">
        <v>473</v>
      </c>
      <c r="C10" s="340"/>
      <c r="D10" s="340"/>
      <c r="E10" s="340"/>
      <c r="F10" s="340"/>
      <c r="G10" s="15"/>
      <c r="H10" s="147">
        <f t="shared" si="0"/>
        <v>0</v>
      </c>
      <c r="I10" s="395" t="str">
        <f t="shared" si="1"/>
        <v>-</v>
      </c>
      <c r="J10" s="347"/>
      <c r="K10" s="147">
        <f t="shared" si="2"/>
        <v>0</v>
      </c>
      <c r="L10" s="309" t="str">
        <f t="shared" si="3"/>
        <v>-</v>
      </c>
      <c r="M10" s="134"/>
    </row>
    <row r="11" spans="1:15" s="396" customFormat="1" ht="94.5" x14ac:dyDescent="0.2">
      <c r="A11" s="399" t="s">
        <v>474</v>
      </c>
      <c r="B11" s="401" t="s">
        <v>475</v>
      </c>
      <c r="C11" s="402">
        <v>3467</v>
      </c>
      <c r="D11" s="402">
        <v>3536</v>
      </c>
      <c r="E11" s="402">
        <v>3467</v>
      </c>
      <c r="F11" s="402">
        <v>3536</v>
      </c>
      <c r="G11" s="402">
        <v>3117</v>
      </c>
      <c r="H11" s="403">
        <f t="shared" si="0"/>
        <v>-419</v>
      </c>
      <c r="I11" s="395">
        <f t="shared" si="1"/>
        <v>-0.11849547511312217</v>
      </c>
      <c r="J11" s="355" t="s">
        <v>749</v>
      </c>
      <c r="K11" s="404">
        <f t="shared" si="2"/>
        <v>-350</v>
      </c>
      <c r="L11" s="405">
        <f t="shared" si="3"/>
        <v>-0.1009518315546582</v>
      </c>
      <c r="M11" s="355" t="s">
        <v>749</v>
      </c>
    </row>
    <row r="12" spans="1:15" s="396" customFormat="1" ht="56.25" x14ac:dyDescent="0.2">
      <c r="A12" s="399" t="s">
        <v>476</v>
      </c>
      <c r="B12" s="401" t="s">
        <v>528</v>
      </c>
      <c r="C12" s="142">
        <v>12</v>
      </c>
      <c r="D12" s="142">
        <v>12</v>
      </c>
      <c r="E12" s="142">
        <v>12</v>
      </c>
      <c r="F12" s="142">
        <v>12</v>
      </c>
      <c r="G12" s="142">
        <v>12.71</v>
      </c>
      <c r="H12" s="150">
        <f t="shared" si="0"/>
        <v>0.71000000000000085</v>
      </c>
      <c r="I12" s="395">
        <f t="shared" si="1"/>
        <v>5.9166666666666735E-2</v>
      </c>
      <c r="J12" s="347"/>
      <c r="K12" s="404">
        <f t="shared" si="2"/>
        <v>0.71000000000000085</v>
      </c>
      <c r="L12" s="405">
        <f t="shared" si="3"/>
        <v>5.9166666666666735E-2</v>
      </c>
      <c r="M12" s="353"/>
    </row>
    <row r="13" spans="1:15" s="396" customFormat="1" x14ac:dyDescent="0.2">
      <c r="A13" s="399" t="s">
        <v>477</v>
      </c>
      <c r="B13" s="401" t="s">
        <v>785</v>
      </c>
      <c r="C13" s="406"/>
      <c r="D13" s="406"/>
      <c r="E13" s="406"/>
      <c r="F13" s="406"/>
      <c r="G13" s="406"/>
      <c r="H13" s="404">
        <f t="shared" si="0"/>
        <v>0</v>
      </c>
      <c r="I13" s="395" t="str">
        <f t="shared" si="1"/>
        <v>-</v>
      </c>
      <c r="J13" s="347"/>
      <c r="K13" s="404">
        <f t="shared" si="2"/>
        <v>0</v>
      </c>
      <c r="L13" s="405" t="str">
        <f t="shared" si="3"/>
        <v>-</v>
      </c>
      <c r="M13" s="353"/>
    </row>
    <row r="14" spans="1:15" s="396" customFormat="1" ht="56.25" x14ac:dyDescent="0.2">
      <c r="A14" s="399" t="s">
        <v>478</v>
      </c>
      <c r="B14" s="401" t="s">
        <v>479</v>
      </c>
      <c r="C14" s="142">
        <v>0</v>
      </c>
      <c r="D14" s="142">
        <v>0</v>
      </c>
      <c r="E14" s="142">
        <v>0</v>
      </c>
      <c r="F14" s="142">
        <v>0</v>
      </c>
      <c r="G14" s="142">
        <v>0</v>
      </c>
      <c r="H14" s="150">
        <f t="shared" si="0"/>
        <v>0</v>
      </c>
      <c r="I14" s="395" t="str">
        <f t="shared" si="1"/>
        <v>-</v>
      </c>
      <c r="J14" s="347"/>
      <c r="K14" s="404">
        <f t="shared" si="2"/>
        <v>0</v>
      </c>
      <c r="L14" s="405" t="str">
        <f t="shared" si="3"/>
        <v>-</v>
      </c>
      <c r="M14" s="353"/>
    </row>
    <row r="15" spans="1:15" s="396" customFormat="1" ht="19.5" x14ac:dyDescent="0.2">
      <c r="A15" s="407" t="s">
        <v>273</v>
      </c>
      <c r="B15" s="408" t="s">
        <v>480</v>
      </c>
      <c r="C15" s="409" t="s">
        <v>216</v>
      </c>
      <c r="D15" s="409" t="s">
        <v>216</v>
      </c>
      <c r="E15" s="409" t="s">
        <v>216</v>
      </c>
      <c r="F15" s="409" t="s">
        <v>216</v>
      </c>
      <c r="G15" s="410" t="s">
        <v>216</v>
      </c>
      <c r="H15" s="410" t="s">
        <v>216</v>
      </c>
      <c r="I15" s="350" t="s">
        <v>216</v>
      </c>
      <c r="J15" s="350" t="s">
        <v>216</v>
      </c>
      <c r="K15" s="350" t="s">
        <v>216</v>
      </c>
      <c r="L15" s="350" t="s">
        <v>216</v>
      </c>
      <c r="M15" s="350" t="s">
        <v>216</v>
      </c>
    </row>
    <row r="16" spans="1:15" s="396" customFormat="1" x14ac:dyDescent="0.2">
      <c r="A16" s="411" t="s">
        <v>272</v>
      </c>
      <c r="B16" s="412" t="s">
        <v>271</v>
      </c>
      <c r="C16" s="113">
        <v>202</v>
      </c>
      <c r="D16" s="113">
        <v>200</v>
      </c>
      <c r="E16" s="113">
        <v>202</v>
      </c>
      <c r="F16" s="113">
        <v>200</v>
      </c>
      <c r="G16" s="5">
        <v>199</v>
      </c>
      <c r="H16" s="149">
        <f t="shared" ref="H16:H30" si="4">G16-F16</f>
        <v>-1</v>
      </c>
      <c r="I16" s="395">
        <f t="shared" ref="I16:I30" si="5">IFERROR(H16/ABS(F16), "-")</f>
        <v>-5.0000000000000001E-3</v>
      </c>
      <c r="J16" s="347"/>
      <c r="K16" s="149">
        <f t="shared" ref="K16:K30" si="6">G16-E16</f>
        <v>-3</v>
      </c>
      <c r="L16" s="309">
        <f t="shared" ref="L16:L30" si="7">IFERROR(K16/ABS(E16), "-")</f>
        <v>-1.4851485148514851E-2</v>
      </c>
      <c r="M16" s="135"/>
    </row>
    <row r="17" spans="1:15" s="396" customFormat="1" ht="72.75" customHeight="1" x14ac:dyDescent="0.2">
      <c r="A17" s="411" t="s">
        <v>348</v>
      </c>
      <c r="B17" s="413" t="s">
        <v>481</v>
      </c>
      <c r="C17" s="114">
        <v>46495</v>
      </c>
      <c r="D17" s="114">
        <v>45100</v>
      </c>
      <c r="E17" s="114">
        <v>46495</v>
      </c>
      <c r="F17" s="114">
        <v>45100</v>
      </c>
      <c r="G17" s="5">
        <v>38179</v>
      </c>
      <c r="H17" s="147">
        <f t="shared" si="4"/>
        <v>-6921</v>
      </c>
      <c r="I17" s="395">
        <f t="shared" si="5"/>
        <v>-0.15345898004434591</v>
      </c>
      <c r="J17" s="355" t="s">
        <v>758</v>
      </c>
      <c r="K17" s="147">
        <f t="shared" si="6"/>
        <v>-8316</v>
      </c>
      <c r="L17" s="309">
        <f t="shared" si="7"/>
        <v>-0.1788579417141628</v>
      </c>
      <c r="M17" s="355" t="s">
        <v>758</v>
      </c>
    </row>
    <row r="18" spans="1:15" s="396" customFormat="1" ht="37.5" x14ac:dyDescent="0.2">
      <c r="A18" s="414" t="s">
        <v>283</v>
      </c>
      <c r="B18" s="415" t="s">
        <v>482</v>
      </c>
      <c r="C18" s="209">
        <v>352</v>
      </c>
      <c r="D18" s="209">
        <v>399</v>
      </c>
      <c r="E18" s="209">
        <v>352</v>
      </c>
      <c r="F18" s="209">
        <v>399</v>
      </c>
      <c r="G18" s="7">
        <v>462.79</v>
      </c>
      <c r="H18" s="170">
        <f t="shared" si="4"/>
        <v>63.79000000000002</v>
      </c>
      <c r="I18" s="416">
        <f t="shared" si="5"/>
        <v>0.15987468671679203</v>
      </c>
      <c r="J18" s="356" t="s">
        <v>753</v>
      </c>
      <c r="K18" s="170">
        <f t="shared" si="6"/>
        <v>110.79000000000002</v>
      </c>
      <c r="L18" s="417">
        <f t="shared" si="7"/>
        <v>0.31474431818181825</v>
      </c>
      <c r="M18" s="356" t="s">
        <v>753</v>
      </c>
    </row>
    <row r="19" spans="1:15" s="396" customFormat="1" ht="37.5" x14ac:dyDescent="0.2">
      <c r="A19" s="414" t="s">
        <v>284</v>
      </c>
      <c r="B19" s="415" t="s">
        <v>483</v>
      </c>
      <c r="C19" s="209">
        <v>353</v>
      </c>
      <c r="D19" s="209">
        <v>428</v>
      </c>
      <c r="E19" s="209">
        <v>353</v>
      </c>
      <c r="F19" s="209">
        <v>428</v>
      </c>
      <c r="G19" s="7">
        <v>464</v>
      </c>
      <c r="H19" s="170">
        <f t="shared" si="4"/>
        <v>36</v>
      </c>
      <c r="I19" s="416">
        <f t="shared" si="5"/>
        <v>8.4112149532710276E-2</v>
      </c>
      <c r="J19" s="356" t="s">
        <v>753</v>
      </c>
      <c r="K19" s="170">
        <f t="shared" si="6"/>
        <v>111</v>
      </c>
      <c r="L19" s="417">
        <f t="shared" si="7"/>
        <v>0.31444759206798867</v>
      </c>
      <c r="M19" s="356" t="s">
        <v>753</v>
      </c>
    </row>
    <row r="20" spans="1:15" s="396" customFormat="1" ht="47.25" x14ac:dyDescent="0.2">
      <c r="A20" s="411" t="s">
        <v>270</v>
      </c>
      <c r="B20" s="418" t="s">
        <v>786</v>
      </c>
      <c r="C20" s="113">
        <v>7394</v>
      </c>
      <c r="D20" s="113">
        <v>7246</v>
      </c>
      <c r="E20" s="113">
        <v>7394</v>
      </c>
      <c r="F20" s="113">
        <v>7246</v>
      </c>
      <c r="G20" s="5">
        <v>6250</v>
      </c>
      <c r="H20" s="147">
        <f t="shared" si="4"/>
        <v>-996</v>
      </c>
      <c r="I20" s="395">
        <f t="shared" si="5"/>
        <v>-0.13745514766767872</v>
      </c>
      <c r="J20" s="355" t="s">
        <v>758</v>
      </c>
      <c r="K20" s="147">
        <f t="shared" si="6"/>
        <v>-1144</v>
      </c>
      <c r="L20" s="309">
        <f t="shared" si="7"/>
        <v>-0.15472004327833377</v>
      </c>
      <c r="M20" s="355" t="s">
        <v>758</v>
      </c>
    </row>
    <row r="21" spans="1:15" s="396" customFormat="1" ht="47.25" x14ac:dyDescent="0.2">
      <c r="A21" s="419" t="s">
        <v>346</v>
      </c>
      <c r="B21" s="420" t="s">
        <v>787</v>
      </c>
      <c r="C21" s="113">
        <v>6906</v>
      </c>
      <c r="D21" s="113">
        <v>6771</v>
      </c>
      <c r="E21" s="113">
        <v>6906</v>
      </c>
      <c r="F21" s="113">
        <v>6771</v>
      </c>
      <c r="G21" s="5">
        <v>5972</v>
      </c>
      <c r="H21" s="147">
        <f t="shared" si="4"/>
        <v>-799</v>
      </c>
      <c r="I21" s="395">
        <f t="shared" si="5"/>
        <v>-0.11800324915079013</v>
      </c>
      <c r="J21" s="355" t="s">
        <v>758</v>
      </c>
      <c r="K21" s="147">
        <f t="shared" si="6"/>
        <v>-934</v>
      </c>
      <c r="L21" s="309">
        <f t="shared" si="7"/>
        <v>-0.1352447147408051</v>
      </c>
      <c r="M21" s="355" t="s">
        <v>758</v>
      </c>
      <c r="O21" s="396" t="s">
        <v>759</v>
      </c>
    </row>
    <row r="22" spans="1:15" s="396" customFormat="1" ht="78.75" x14ac:dyDescent="0.2">
      <c r="A22" s="411" t="s">
        <v>269</v>
      </c>
      <c r="B22" s="412" t="s">
        <v>788</v>
      </c>
      <c r="C22" s="113">
        <v>3927</v>
      </c>
      <c r="D22" s="113">
        <v>3709</v>
      </c>
      <c r="E22" s="113">
        <v>3927</v>
      </c>
      <c r="F22" s="113">
        <v>3709</v>
      </c>
      <c r="G22" s="5">
        <v>3133</v>
      </c>
      <c r="H22" s="147">
        <f t="shared" si="4"/>
        <v>-576</v>
      </c>
      <c r="I22" s="395">
        <f t="shared" si="5"/>
        <v>-0.15529792396872472</v>
      </c>
      <c r="J22" s="355" t="s">
        <v>760</v>
      </c>
      <c r="K22" s="147">
        <f t="shared" si="6"/>
        <v>-794</v>
      </c>
      <c r="L22" s="309">
        <f t="shared" si="7"/>
        <v>-0.20218996689584925</v>
      </c>
      <c r="M22" s="355" t="s">
        <v>760</v>
      </c>
    </row>
    <row r="23" spans="1:15" s="396" customFormat="1" ht="78.75" x14ac:dyDescent="0.2">
      <c r="A23" s="419" t="s">
        <v>347</v>
      </c>
      <c r="B23" s="420" t="s">
        <v>789</v>
      </c>
      <c r="C23" s="113">
        <v>3461</v>
      </c>
      <c r="D23" s="113">
        <v>3257</v>
      </c>
      <c r="E23" s="113">
        <v>3461</v>
      </c>
      <c r="F23" s="113">
        <v>3257</v>
      </c>
      <c r="G23" s="5">
        <v>2867</v>
      </c>
      <c r="H23" s="147">
        <f t="shared" si="4"/>
        <v>-390</v>
      </c>
      <c r="I23" s="395">
        <f t="shared" si="5"/>
        <v>-0.1197420939514891</v>
      </c>
      <c r="J23" s="355" t="s">
        <v>760</v>
      </c>
      <c r="K23" s="147">
        <f t="shared" si="6"/>
        <v>-594</v>
      </c>
      <c r="L23" s="309">
        <f t="shared" si="7"/>
        <v>-0.17162669748627565</v>
      </c>
      <c r="M23" s="355" t="s">
        <v>760</v>
      </c>
    </row>
    <row r="24" spans="1:15" s="396" customFormat="1" ht="94.5" x14ac:dyDescent="0.2">
      <c r="A24" s="419" t="s">
        <v>484</v>
      </c>
      <c r="B24" s="418" t="s">
        <v>790</v>
      </c>
      <c r="C24" s="113">
        <v>3467</v>
      </c>
      <c r="D24" s="113">
        <v>3536</v>
      </c>
      <c r="E24" s="113">
        <v>3467</v>
      </c>
      <c r="F24" s="113">
        <v>3536</v>
      </c>
      <c r="G24" s="5">
        <v>3117</v>
      </c>
      <c r="H24" s="147">
        <f t="shared" si="4"/>
        <v>-419</v>
      </c>
      <c r="I24" s="395">
        <f t="shared" si="5"/>
        <v>-0.11849547511312217</v>
      </c>
      <c r="J24" s="355" t="s">
        <v>749</v>
      </c>
      <c r="K24" s="147">
        <f t="shared" si="6"/>
        <v>-350</v>
      </c>
      <c r="L24" s="309">
        <f t="shared" si="7"/>
        <v>-0.1009518315546582</v>
      </c>
      <c r="M24" s="355" t="s">
        <v>749</v>
      </c>
    </row>
    <row r="25" spans="1:15" s="396" customFormat="1" ht="94.5" x14ac:dyDescent="0.2">
      <c r="A25" s="419" t="s">
        <v>485</v>
      </c>
      <c r="B25" s="420" t="s">
        <v>791</v>
      </c>
      <c r="C25" s="113">
        <v>3445</v>
      </c>
      <c r="D25" s="113">
        <v>3514</v>
      </c>
      <c r="E25" s="113">
        <v>3445</v>
      </c>
      <c r="F25" s="113">
        <v>3514</v>
      </c>
      <c r="G25" s="5">
        <v>3105</v>
      </c>
      <c r="H25" s="147">
        <f t="shared" si="4"/>
        <v>-409</v>
      </c>
      <c r="I25" s="395">
        <f t="shared" si="5"/>
        <v>-0.1163915765509391</v>
      </c>
      <c r="J25" s="355" t="s">
        <v>749</v>
      </c>
      <c r="K25" s="147">
        <f t="shared" si="6"/>
        <v>-340</v>
      </c>
      <c r="L25" s="309">
        <f t="shared" si="7"/>
        <v>-9.8693759071117562E-2</v>
      </c>
      <c r="M25" s="355" t="s">
        <v>749</v>
      </c>
    </row>
    <row r="26" spans="1:15" s="396" customFormat="1" ht="56.25" x14ac:dyDescent="0.2">
      <c r="A26" s="411" t="s">
        <v>268</v>
      </c>
      <c r="B26" s="401" t="s">
        <v>792</v>
      </c>
      <c r="C26" s="421"/>
      <c r="D26" s="421"/>
      <c r="E26" s="421"/>
      <c r="F26" s="421"/>
      <c r="G26" s="5"/>
      <c r="H26" s="147">
        <f t="shared" si="4"/>
        <v>0</v>
      </c>
      <c r="I26" s="395" t="str">
        <f t="shared" si="5"/>
        <v>-</v>
      </c>
      <c r="J26" s="347"/>
      <c r="K26" s="147">
        <f t="shared" si="6"/>
        <v>0</v>
      </c>
      <c r="L26" s="309" t="str">
        <f t="shared" si="7"/>
        <v>-</v>
      </c>
      <c r="M26" s="134"/>
    </row>
    <row r="27" spans="1:15" s="396" customFormat="1" ht="132" customHeight="1" x14ac:dyDescent="0.2">
      <c r="A27" s="411" t="s">
        <v>267</v>
      </c>
      <c r="B27" s="401" t="s">
        <v>793</v>
      </c>
      <c r="C27" s="421">
        <v>27</v>
      </c>
      <c r="D27" s="421">
        <v>77</v>
      </c>
      <c r="E27" s="421">
        <v>27</v>
      </c>
      <c r="F27" s="421">
        <v>77</v>
      </c>
      <c r="G27" s="5">
        <v>71</v>
      </c>
      <c r="H27" s="147">
        <f t="shared" si="4"/>
        <v>-6</v>
      </c>
      <c r="I27" s="395">
        <f t="shared" si="5"/>
        <v>-7.792207792207792E-2</v>
      </c>
      <c r="J27" s="355" t="s">
        <v>800</v>
      </c>
      <c r="K27" s="147">
        <f t="shared" si="6"/>
        <v>44</v>
      </c>
      <c r="L27" s="309">
        <f t="shared" si="7"/>
        <v>1.6296296296296295</v>
      </c>
      <c r="M27" s="355" t="s">
        <v>801</v>
      </c>
    </row>
    <row r="28" spans="1:15" s="396" customFormat="1" ht="37.5" x14ac:dyDescent="0.2">
      <c r="A28" s="411" t="s">
        <v>266</v>
      </c>
      <c r="B28" s="401" t="s">
        <v>333</v>
      </c>
      <c r="C28" s="421">
        <v>13199</v>
      </c>
      <c r="D28" s="421">
        <v>12703</v>
      </c>
      <c r="E28" s="421">
        <v>13199</v>
      </c>
      <c r="F28" s="421">
        <v>12703</v>
      </c>
      <c r="G28" s="5">
        <v>11425</v>
      </c>
      <c r="H28" s="147">
        <f t="shared" si="4"/>
        <v>-1278</v>
      </c>
      <c r="I28" s="395">
        <f t="shared" si="5"/>
        <v>-0.10060615602613555</v>
      </c>
      <c r="J28" s="348" t="s">
        <v>713</v>
      </c>
      <c r="K28" s="147">
        <f t="shared" si="6"/>
        <v>-1774</v>
      </c>
      <c r="L28" s="309">
        <f t="shared" si="7"/>
        <v>-0.13440412152435791</v>
      </c>
      <c r="M28" s="349" t="s">
        <v>713</v>
      </c>
    </row>
    <row r="29" spans="1:15" s="396" customFormat="1" ht="37.5" x14ac:dyDescent="0.2">
      <c r="A29" s="414" t="s">
        <v>265</v>
      </c>
      <c r="B29" s="415" t="s">
        <v>334</v>
      </c>
      <c r="C29" s="209">
        <v>6.26</v>
      </c>
      <c r="D29" s="209">
        <v>6.2</v>
      </c>
      <c r="E29" s="209">
        <v>6.26</v>
      </c>
      <c r="F29" s="209">
        <v>6.2</v>
      </c>
      <c r="G29" s="132">
        <v>6.1</v>
      </c>
      <c r="H29" s="218">
        <f t="shared" si="4"/>
        <v>-0.10000000000000053</v>
      </c>
      <c r="I29" s="416">
        <f t="shared" si="5"/>
        <v>-1.6129032258064602E-2</v>
      </c>
      <c r="J29" s="351"/>
      <c r="K29" s="218">
        <f t="shared" si="6"/>
        <v>-0.16000000000000014</v>
      </c>
      <c r="L29" s="417">
        <f t="shared" si="7"/>
        <v>-2.5559105431309927E-2</v>
      </c>
      <c r="M29" s="354"/>
    </row>
    <row r="30" spans="1:15" s="396" customFormat="1" ht="47.25" x14ac:dyDescent="0.2">
      <c r="A30" s="414" t="s">
        <v>264</v>
      </c>
      <c r="B30" s="415" t="s">
        <v>529</v>
      </c>
      <c r="C30" s="209">
        <v>62.87</v>
      </c>
      <c r="D30" s="209">
        <v>64.13</v>
      </c>
      <c r="E30" s="209">
        <v>62.87</v>
      </c>
      <c r="F30" s="209">
        <v>64.13</v>
      </c>
      <c r="G30" s="132">
        <v>52.23</v>
      </c>
      <c r="H30" s="218">
        <f t="shared" si="4"/>
        <v>-11.899999999999999</v>
      </c>
      <c r="I30" s="416">
        <f t="shared" si="5"/>
        <v>-0.18556058007172929</v>
      </c>
      <c r="J30" s="355" t="s">
        <v>758</v>
      </c>
      <c r="K30" s="218">
        <f t="shared" si="6"/>
        <v>-10.64</v>
      </c>
      <c r="L30" s="417">
        <f t="shared" si="7"/>
        <v>-0.16923811038651188</v>
      </c>
      <c r="M30" s="355" t="s">
        <v>758</v>
      </c>
    </row>
    <row r="31" spans="1:15" s="396" customFormat="1" ht="19.5" x14ac:dyDescent="0.2">
      <c r="A31" s="422" t="s">
        <v>263</v>
      </c>
      <c r="B31" s="423" t="s">
        <v>486</v>
      </c>
      <c r="C31" s="424" t="s">
        <v>216</v>
      </c>
      <c r="D31" s="424" t="s">
        <v>216</v>
      </c>
      <c r="E31" s="424" t="s">
        <v>216</v>
      </c>
      <c r="F31" s="424" t="s">
        <v>216</v>
      </c>
      <c r="G31" s="410" t="s">
        <v>216</v>
      </c>
      <c r="H31" s="410" t="s">
        <v>216</v>
      </c>
      <c r="I31" s="350" t="s">
        <v>216</v>
      </c>
      <c r="J31" s="352" t="s">
        <v>216</v>
      </c>
      <c r="K31" s="350" t="s">
        <v>216</v>
      </c>
      <c r="L31" s="350" t="s">
        <v>216</v>
      </c>
      <c r="M31" s="352" t="s">
        <v>216</v>
      </c>
    </row>
    <row r="32" spans="1:15" s="396" customFormat="1" ht="75" x14ac:dyDescent="0.2">
      <c r="A32" s="414" t="s">
        <v>261</v>
      </c>
      <c r="B32" s="415" t="s">
        <v>487</v>
      </c>
      <c r="C32" s="425">
        <v>120899</v>
      </c>
      <c r="D32" s="425">
        <v>120816.6</v>
      </c>
      <c r="E32" s="425">
        <v>120899</v>
      </c>
      <c r="F32" s="425">
        <v>120816.6</v>
      </c>
      <c r="G32" s="426">
        <v>96912</v>
      </c>
      <c r="H32" s="394">
        <f t="shared" ref="H32:H40" si="8">G32-F32</f>
        <v>-23904.600000000006</v>
      </c>
      <c r="I32" s="395">
        <f t="shared" ref="I32:I40" si="9">IFERROR(H32/ABS(F32), "-")</f>
        <v>-0.19785857241471788</v>
      </c>
      <c r="J32" s="348" t="s">
        <v>750</v>
      </c>
      <c r="K32" s="147">
        <f t="shared" ref="K32:K40" si="10">G32-E32</f>
        <v>-23987</v>
      </c>
      <c r="L32" s="309">
        <f t="shared" ref="L32:L40" si="11">IFERROR(K32/ABS(E32), "-")</f>
        <v>-0.19840528044069844</v>
      </c>
      <c r="M32" s="349" t="s">
        <v>750</v>
      </c>
    </row>
    <row r="33" spans="1:13" s="396" customFormat="1" ht="75" x14ac:dyDescent="0.2">
      <c r="A33" s="411" t="s">
        <v>335</v>
      </c>
      <c r="B33" s="298" t="s">
        <v>488</v>
      </c>
      <c r="C33" s="114">
        <v>98432</v>
      </c>
      <c r="D33" s="114">
        <v>98349.6</v>
      </c>
      <c r="E33" s="114">
        <v>98432</v>
      </c>
      <c r="F33" s="114">
        <v>98349.6</v>
      </c>
      <c r="G33" s="5">
        <v>79167</v>
      </c>
      <c r="H33" s="147">
        <f t="shared" si="8"/>
        <v>-19182.600000000006</v>
      </c>
      <c r="I33" s="395">
        <f t="shared" si="9"/>
        <v>-0.19504502306059207</v>
      </c>
      <c r="J33" s="348" t="s">
        <v>750</v>
      </c>
      <c r="K33" s="147">
        <f t="shared" si="10"/>
        <v>-19265</v>
      </c>
      <c r="L33" s="309">
        <f t="shared" si="11"/>
        <v>-0.19571887191157347</v>
      </c>
      <c r="M33" s="349" t="s">
        <v>750</v>
      </c>
    </row>
    <row r="34" spans="1:13" s="396" customFormat="1" ht="93.75" x14ac:dyDescent="0.2">
      <c r="A34" s="411" t="s">
        <v>336</v>
      </c>
      <c r="B34" s="427" t="s">
        <v>262</v>
      </c>
      <c r="C34" s="114">
        <v>824</v>
      </c>
      <c r="D34" s="114">
        <v>741.6</v>
      </c>
      <c r="E34" s="114">
        <v>824</v>
      </c>
      <c r="F34" s="114">
        <v>741.6</v>
      </c>
      <c r="G34" s="5">
        <v>465</v>
      </c>
      <c r="H34" s="147">
        <f t="shared" si="8"/>
        <v>-276.60000000000002</v>
      </c>
      <c r="I34" s="395">
        <f t="shared" si="9"/>
        <v>-0.37297734627831719</v>
      </c>
      <c r="J34" s="348" t="s">
        <v>751</v>
      </c>
      <c r="K34" s="147">
        <f t="shared" si="10"/>
        <v>-359</v>
      </c>
      <c r="L34" s="309">
        <f t="shared" si="11"/>
        <v>-0.43567961165048541</v>
      </c>
      <c r="M34" s="349" t="s">
        <v>752</v>
      </c>
    </row>
    <row r="35" spans="1:13" s="396" customFormat="1" ht="93.75" x14ac:dyDescent="0.2">
      <c r="A35" s="411" t="s">
        <v>337</v>
      </c>
      <c r="B35" s="298" t="s">
        <v>489</v>
      </c>
      <c r="C35" s="114">
        <v>22467</v>
      </c>
      <c r="D35" s="114">
        <v>22467</v>
      </c>
      <c r="E35" s="114">
        <v>22467</v>
      </c>
      <c r="F35" s="114">
        <v>22467</v>
      </c>
      <c r="G35" s="5">
        <v>17745</v>
      </c>
      <c r="H35" s="147">
        <f t="shared" si="8"/>
        <v>-4722</v>
      </c>
      <c r="I35" s="395">
        <f t="shared" si="9"/>
        <v>-0.21017492322072373</v>
      </c>
      <c r="J35" s="348" t="s">
        <v>751</v>
      </c>
      <c r="K35" s="147">
        <f t="shared" si="10"/>
        <v>-4722</v>
      </c>
      <c r="L35" s="309">
        <f t="shared" si="11"/>
        <v>-0.21017492322072373</v>
      </c>
      <c r="M35" s="349" t="s">
        <v>752</v>
      </c>
    </row>
    <row r="36" spans="1:13" s="396" customFormat="1" x14ac:dyDescent="0.2">
      <c r="A36" s="411" t="s">
        <v>338</v>
      </c>
      <c r="B36" s="427" t="s">
        <v>262</v>
      </c>
      <c r="C36" s="114">
        <v>0</v>
      </c>
      <c r="D36" s="114">
        <v>0</v>
      </c>
      <c r="E36" s="114">
        <v>0</v>
      </c>
      <c r="F36" s="114">
        <v>0</v>
      </c>
      <c r="G36" s="5">
        <v>0</v>
      </c>
      <c r="H36" s="147">
        <f t="shared" si="8"/>
        <v>0</v>
      </c>
      <c r="I36" s="395" t="str">
        <f t="shared" si="9"/>
        <v>-</v>
      </c>
      <c r="J36" s="347"/>
      <c r="K36" s="147">
        <f t="shared" si="10"/>
        <v>0</v>
      </c>
      <c r="L36" s="309" t="str">
        <f t="shared" si="11"/>
        <v>-</v>
      </c>
      <c r="M36" s="134"/>
    </row>
    <row r="37" spans="1:13" s="396" customFormat="1" x14ac:dyDescent="0.2">
      <c r="A37" s="411" t="s">
        <v>340</v>
      </c>
      <c r="B37" s="413" t="s">
        <v>345</v>
      </c>
      <c r="C37" s="114"/>
      <c r="D37" s="114"/>
      <c r="E37" s="114"/>
      <c r="F37" s="114"/>
      <c r="G37" s="5"/>
      <c r="H37" s="147">
        <f t="shared" si="8"/>
        <v>0</v>
      </c>
      <c r="I37" s="395" t="str">
        <f t="shared" si="9"/>
        <v>-</v>
      </c>
      <c r="J37" s="347"/>
      <c r="K37" s="147">
        <f t="shared" si="10"/>
        <v>0</v>
      </c>
      <c r="L37" s="309" t="str">
        <f t="shared" si="11"/>
        <v>-</v>
      </c>
      <c r="M37" s="134"/>
    </row>
    <row r="38" spans="1:13" s="396" customFormat="1" ht="37.5" x14ac:dyDescent="0.2">
      <c r="A38" s="411" t="s">
        <v>341</v>
      </c>
      <c r="B38" s="413" t="s">
        <v>530</v>
      </c>
      <c r="C38" s="114"/>
      <c r="D38" s="114"/>
      <c r="E38" s="114"/>
      <c r="F38" s="114"/>
      <c r="G38" s="5"/>
      <c r="H38" s="147">
        <f t="shared" si="8"/>
        <v>0</v>
      </c>
      <c r="I38" s="395" t="str">
        <f t="shared" si="9"/>
        <v>-</v>
      </c>
      <c r="J38" s="347"/>
      <c r="K38" s="147">
        <f t="shared" si="10"/>
        <v>0</v>
      </c>
      <c r="L38" s="309" t="str">
        <f t="shared" si="11"/>
        <v>-</v>
      </c>
      <c r="M38" s="134"/>
    </row>
    <row r="39" spans="1:13" s="396" customFormat="1" ht="37.5" x14ac:dyDescent="0.2">
      <c r="A39" s="411" t="s">
        <v>339</v>
      </c>
      <c r="B39" s="415" t="s">
        <v>794</v>
      </c>
      <c r="C39" s="209">
        <v>6220</v>
      </c>
      <c r="D39" s="209">
        <v>6138.6</v>
      </c>
      <c r="E39" s="209">
        <v>6220</v>
      </c>
      <c r="F39" s="209">
        <v>6138.6</v>
      </c>
      <c r="G39" s="5">
        <v>5431</v>
      </c>
      <c r="H39" s="147">
        <f t="shared" si="8"/>
        <v>-707.60000000000036</v>
      </c>
      <c r="I39" s="395">
        <f t="shared" si="9"/>
        <v>-0.11527058286905814</v>
      </c>
      <c r="J39" s="347"/>
      <c r="K39" s="147">
        <f t="shared" si="10"/>
        <v>-789</v>
      </c>
      <c r="L39" s="309">
        <f t="shared" si="11"/>
        <v>-0.12684887459807073</v>
      </c>
      <c r="M39" s="134"/>
    </row>
    <row r="40" spans="1:13" s="396" customFormat="1" ht="93.75" x14ac:dyDescent="0.2">
      <c r="A40" s="428" t="s">
        <v>356</v>
      </c>
      <c r="B40" s="429" t="s">
        <v>358</v>
      </c>
      <c r="C40" s="430">
        <v>814</v>
      </c>
      <c r="D40" s="430">
        <v>732.6</v>
      </c>
      <c r="E40" s="430">
        <v>814</v>
      </c>
      <c r="F40" s="430">
        <v>732.6</v>
      </c>
      <c r="G40" s="5">
        <v>442</v>
      </c>
      <c r="H40" s="147">
        <f t="shared" si="8"/>
        <v>-290.60000000000002</v>
      </c>
      <c r="I40" s="431">
        <f t="shared" si="9"/>
        <v>-0.39666939666939671</v>
      </c>
      <c r="J40" s="348" t="s">
        <v>751</v>
      </c>
      <c r="K40" s="147">
        <f t="shared" si="10"/>
        <v>-372</v>
      </c>
      <c r="L40" s="309">
        <f t="shared" si="11"/>
        <v>-0.45700245700245701</v>
      </c>
      <c r="M40" s="348" t="s">
        <v>751</v>
      </c>
    </row>
    <row r="41" spans="1:13" ht="122.25" customHeight="1" x14ac:dyDescent="0.2">
      <c r="A41" s="77" t="s">
        <v>260</v>
      </c>
      <c r="B41" s="90" t="s">
        <v>490</v>
      </c>
      <c r="C41" s="91" t="s">
        <v>216</v>
      </c>
      <c r="D41" s="91" t="s">
        <v>216</v>
      </c>
      <c r="E41" s="91" t="s">
        <v>216</v>
      </c>
      <c r="F41" s="91" t="s">
        <v>216</v>
      </c>
      <c r="G41" s="80" t="s">
        <v>216</v>
      </c>
      <c r="H41" s="80" t="s">
        <v>216</v>
      </c>
      <c r="I41" s="81" t="s">
        <v>216</v>
      </c>
      <c r="J41" s="81" t="s">
        <v>216</v>
      </c>
      <c r="K41" s="81" t="s">
        <v>216</v>
      </c>
      <c r="L41" s="81" t="s">
        <v>216</v>
      </c>
      <c r="M41" s="81" t="s">
        <v>216</v>
      </c>
    </row>
    <row r="42" spans="1:13" x14ac:dyDescent="0.2">
      <c r="A42" s="88" t="s">
        <v>259</v>
      </c>
      <c r="B42" s="92" t="s">
        <v>252</v>
      </c>
      <c r="C42" s="9"/>
      <c r="D42" s="9"/>
      <c r="E42" s="9"/>
      <c r="F42" s="9"/>
      <c r="G42" s="15"/>
      <c r="H42" s="147">
        <f t="shared" ref="H42:H46" si="12">G42-F42</f>
        <v>0</v>
      </c>
      <c r="I42" s="139" t="str">
        <f t="shared" ref="I42:I46" si="13">IFERROR(H42/ABS(F42), "-")</f>
        <v>-</v>
      </c>
      <c r="J42" s="143"/>
      <c r="K42" s="147">
        <f t="shared" ref="K42:K46" si="14">G42-E42</f>
        <v>0</v>
      </c>
      <c r="L42" s="148" t="str">
        <f t="shared" ref="L42:L46" si="15">IFERROR(K42/ABS(E42), "-")</f>
        <v>-</v>
      </c>
      <c r="M42" s="134"/>
    </row>
    <row r="43" spans="1:13" ht="37.5" x14ac:dyDescent="0.2">
      <c r="A43" s="88" t="s">
        <v>258</v>
      </c>
      <c r="B43" s="92" t="s">
        <v>507</v>
      </c>
      <c r="C43" s="9"/>
      <c r="D43" s="9"/>
      <c r="E43" s="9"/>
      <c r="F43" s="9"/>
      <c r="G43" s="15"/>
      <c r="H43" s="147">
        <f t="shared" si="12"/>
        <v>0</v>
      </c>
      <c r="I43" s="139" t="str">
        <f t="shared" si="13"/>
        <v>-</v>
      </c>
      <c r="J43" s="143"/>
      <c r="K43" s="147">
        <f t="shared" si="14"/>
        <v>0</v>
      </c>
      <c r="L43" s="148" t="str">
        <f t="shared" si="15"/>
        <v>-</v>
      </c>
      <c r="M43" s="134"/>
    </row>
    <row r="44" spans="1:13" x14ac:dyDescent="0.2">
      <c r="A44" s="88" t="s">
        <v>257</v>
      </c>
      <c r="B44" s="92" t="s">
        <v>508</v>
      </c>
      <c r="C44" s="9"/>
      <c r="D44" s="9"/>
      <c r="E44" s="9"/>
      <c r="F44" s="9"/>
      <c r="G44" s="15"/>
      <c r="H44" s="147">
        <f t="shared" si="12"/>
        <v>0</v>
      </c>
      <c r="I44" s="139" t="str">
        <f t="shared" si="13"/>
        <v>-</v>
      </c>
      <c r="J44" s="143"/>
      <c r="K44" s="147">
        <f t="shared" si="14"/>
        <v>0</v>
      </c>
      <c r="L44" s="148" t="str">
        <f t="shared" si="15"/>
        <v>-</v>
      </c>
      <c r="M44" s="134"/>
    </row>
    <row r="45" spans="1:13" x14ac:dyDescent="0.2">
      <c r="A45" s="88" t="s">
        <v>256</v>
      </c>
      <c r="B45" s="92" t="s">
        <v>248</v>
      </c>
      <c r="C45" s="9"/>
      <c r="D45" s="9"/>
      <c r="E45" s="9"/>
      <c r="F45" s="9"/>
      <c r="G45" s="15"/>
      <c r="H45" s="147">
        <f t="shared" si="12"/>
        <v>0</v>
      </c>
      <c r="I45" s="139" t="str">
        <f t="shared" si="13"/>
        <v>-</v>
      </c>
      <c r="J45" s="143"/>
      <c r="K45" s="147">
        <f t="shared" si="14"/>
        <v>0</v>
      </c>
      <c r="L45" s="148" t="str">
        <f t="shared" si="15"/>
        <v>-</v>
      </c>
      <c r="M45" s="134"/>
    </row>
    <row r="46" spans="1:13" x14ac:dyDescent="0.2">
      <c r="A46" s="88" t="s">
        <v>255</v>
      </c>
      <c r="B46" s="92" t="s">
        <v>509</v>
      </c>
      <c r="C46" s="9"/>
      <c r="D46" s="9"/>
      <c r="E46" s="9"/>
      <c r="F46" s="9"/>
      <c r="G46" s="15"/>
      <c r="H46" s="147">
        <f t="shared" si="12"/>
        <v>0</v>
      </c>
      <c r="I46" s="139" t="str">
        <f t="shared" si="13"/>
        <v>-</v>
      </c>
      <c r="J46" s="143"/>
      <c r="K46" s="147">
        <f t="shared" si="14"/>
        <v>0</v>
      </c>
      <c r="L46" s="148" t="str">
        <f t="shared" si="15"/>
        <v>-</v>
      </c>
      <c r="M46" s="134"/>
    </row>
    <row r="47" spans="1:13" ht="19.5" x14ac:dyDescent="0.2">
      <c r="A47" s="77" t="s">
        <v>254</v>
      </c>
      <c r="B47" s="90" t="s">
        <v>491</v>
      </c>
      <c r="C47" s="91" t="s">
        <v>216</v>
      </c>
      <c r="D47" s="91" t="s">
        <v>216</v>
      </c>
      <c r="E47" s="91" t="s">
        <v>216</v>
      </c>
      <c r="F47" s="91" t="s">
        <v>216</v>
      </c>
      <c r="G47" s="80" t="s">
        <v>216</v>
      </c>
      <c r="H47" s="80" t="s">
        <v>216</v>
      </c>
      <c r="I47" s="81" t="s">
        <v>216</v>
      </c>
      <c r="J47" s="81" t="s">
        <v>216</v>
      </c>
      <c r="K47" s="81" t="s">
        <v>216</v>
      </c>
      <c r="L47" s="81" t="s">
        <v>216</v>
      </c>
      <c r="M47" s="81" t="s">
        <v>216</v>
      </c>
    </row>
    <row r="48" spans="1:13" x14ac:dyDescent="0.2">
      <c r="A48" s="88" t="s">
        <v>253</v>
      </c>
      <c r="B48" s="92" t="s">
        <v>252</v>
      </c>
      <c r="C48" s="9"/>
      <c r="D48" s="9"/>
      <c r="E48" s="9"/>
      <c r="F48" s="9"/>
      <c r="G48" s="15"/>
      <c r="H48" s="147">
        <f t="shared" ref="H48:H52" si="16">G48-F48</f>
        <v>0</v>
      </c>
      <c r="I48" s="139" t="str">
        <f t="shared" ref="I48:I52" si="17">IFERROR(H48/ABS(F48), "-")</f>
        <v>-</v>
      </c>
      <c r="J48" s="143"/>
      <c r="K48" s="147">
        <f t="shared" ref="K48:K52" si="18">G48-E48</f>
        <v>0</v>
      </c>
      <c r="L48" s="148" t="str">
        <f t="shared" ref="L48:L52" si="19">IFERROR(K48/ABS(E48), "-")</f>
        <v>-</v>
      </c>
      <c r="M48" s="134"/>
    </row>
    <row r="49" spans="1:13" ht="37.5" x14ac:dyDescent="0.2">
      <c r="A49" s="88" t="s">
        <v>251</v>
      </c>
      <c r="B49" s="92" t="s">
        <v>507</v>
      </c>
      <c r="C49" s="9"/>
      <c r="D49" s="9"/>
      <c r="E49" s="9"/>
      <c r="F49" s="9"/>
      <c r="G49" s="15"/>
      <c r="H49" s="147">
        <f t="shared" si="16"/>
        <v>0</v>
      </c>
      <c r="I49" s="139" t="str">
        <f t="shared" si="17"/>
        <v>-</v>
      </c>
      <c r="J49" s="143"/>
      <c r="K49" s="147">
        <f t="shared" si="18"/>
        <v>0</v>
      </c>
      <c r="L49" s="148" t="str">
        <f t="shared" si="19"/>
        <v>-</v>
      </c>
      <c r="M49" s="134"/>
    </row>
    <row r="50" spans="1:13" x14ac:dyDescent="0.2">
      <c r="A50" s="88" t="s">
        <v>250</v>
      </c>
      <c r="B50" s="92" t="s">
        <v>508</v>
      </c>
      <c r="C50" s="9"/>
      <c r="D50" s="9"/>
      <c r="E50" s="9"/>
      <c r="F50" s="9"/>
      <c r="G50" s="15"/>
      <c r="H50" s="147">
        <f t="shared" si="16"/>
        <v>0</v>
      </c>
      <c r="I50" s="139" t="str">
        <f t="shared" si="17"/>
        <v>-</v>
      </c>
      <c r="J50" s="143"/>
      <c r="K50" s="147">
        <f t="shared" si="18"/>
        <v>0</v>
      </c>
      <c r="L50" s="148" t="str">
        <f t="shared" si="19"/>
        <v>-</v>
      </c>
      <c r="M50" s="134"/>
    </row>
    <row r="51" spans="1:13" x14ac:dyDescent="0.2">
      <c r="A51" s="88" t="s">
        <v>249</v>
      </c>
      <c r="B51" s="92" t="s">
        <v>248</v>
      </c>
      <c r="C51" s="9"/>
      <c r="D51" s="9"/>
      <c r="E51" s="9"/>
      <c r="F51" s="9"/>
      <c r="G51" s="15"/>
      <c r="H51" s="147">
        <f t="shared" si="16"/>
        <v>0</v>
      </c>
      <c r="I51" s="139" t="str">
        <f t="shared" si="17"/>
        <v>-</v>
      </c>
      <c r="J51" s="143"/>
      <c r="K51" s="147">
        <f t="shared" si="18"/>
        <v>0</v>
      </c>
      <c r="L51" s="148" t="str">
        <f t="shared" si="19"/>
        <v>-</v>
      </c>
      <c r="M51" s="134"/>
    </row>
    <row r="52" spans="1:13" x14ac:dyDescent="0.2">
      <c r="A52" s="88" t="s">
        <v>247</v>
      </c>
      <c r="B52" s="92" t="s">
        <v>509</v>
      </c>
      <c r="C52" s="9"/>
      <c r="D52" s="9"/>
      <c r="E52" s="9"/>
      <c r="F52" s="9"/>
      <c r="G52" s="15"/>
      <c r="H52" s="147">
        <f t="shared" si="16"/>
        <v>0</v>
      </c>
      <c r="I52" s="139" t="str">
        <f t="shared" si="17"/>
        <v>-</v>
      </c>
      <c r="J52" s="143"/>
      <c r="K52" s="147">
        <f t="shared" si="18"/>
        <v>0</v>
      </c>
      <c r="L52" s="148" t="str">
        <f t="shared" si="19"/>
        <v>-</v>
      </c>
      <c r="M52" s="134"/>
    </row>
    <row r="53" spans="1:13" ht="72.75" customHeight="1" x14ac:dyDescent="0.2">
      <c r="A53" s="473" t="s">
        <v>246</v>
      </c>
      <c r="B53" s="474" t="s">
        <v>492</v>
      </c>
      <c r="C53" s="341" t="s">
        <v>216</v>
      </c>
      <c r="D53" s="341" t="s">
        <v>216</v>
      </c>
      <c r="E53" s="341" t="s">
        <v>216</v>
      </c>
      <c r="F53" s="341" t="s">
        <v>216</v>
      </c>
      <c r="G53" s="342" t="s">
        <v>216</v>
      </c>
      <c r="H53" s="342" t="s">
        <v>216</v>
      </c>
      <c r="I53" s="345" t="s">
        <v>216</v>
      </c>
      <c r="J53" s="345" t="s">
        <v>216</v>
      </c>
      <c r="K53" s="345" t="s">
        <v>216</v>
      </c>
      <c r="L53" s="345" t="s">
        <v>216</v>
      </c>
      <c r="M53" s="345" t="s">
        <v>216</v>
      </c>
    </row>
    <row r="54" spans="1:13" ht="19.5" x14ac:dyDescent="0.2">
      <c r="A54" s="475" t="s">
        <v>245</v>
      </c>
      <c r="B54" s="476" t="s">
        <v>244</v>
      </c>
      <c r="C54" s="200">
        <v>549</v>
      </c>
      <c r="D54" s="200">
        <v>556</v>
      </c>
      <c r="E54" s="200">
        <v>549</v>
      </c>
      <c r="F54" s="200">
        <v>556</v>
      </c>
      <c r="G54" s="200">
        <f>SUM(G55:G59)</f>
        <v>563.29999999999995</v>
      </c>
      <c r="H54" s="201">
        <f t="shared" ref="H54:H77" si="20">G54-F54</f>
        <v>7.2999999999999545</v>
      </c>
      <c r="I54" s="477">
        <f t="shared" ref="I54:I77" si="21">IFERROR(H54/ABS(F54), "-")</f>
        <v>1.3129496402877616E-2</v>
      </c>
      <c r="J54" s="346"/>
      <c r="K54" s="116">
        <f t="shared" ref="K54:K77" si="22">G54-E54</f>
        <v>14.299999999999955</v>
      </c>
      <c r="L54" s="478">
        <f t="shared" ref="L54:L77" si="23">IFERROR(K54/ABS(E54), "-")</f>
        <v>2.6047358834243996E-2</v>
      </c>
      <c r="M54" s="137"/>
    </row>
    <row r="55" spans="1:13" ht="112.5" x14ac:dyDescent="0.2">
      <c r="A55" s="411" t="s">
        <v>243</v>
      </c>
      <c r="B55" s="479" t="s">
        <v>510</v>
      </c>
      <c r="C55" s="15">
        <v>103</v>
      </c>
      <c r="D55" s="15">
        <v>105</v>
      </c>
      <c r="E55" s="15">
        <v>103</v>
      </c>
      <c r="F55" s="15">
        <v>105</v>
      </c>
      <c r="G55" s="5">
        <v>108</v>
      </c>
      <c r="H55" s="149">
        <f t="shared" si="20"/>
        <v>3</v>
      </c>
      <c r="I55" s="395">
        <f t="shared" si="21"/>
        <v>2.8571428571428571E-2</v>
      </c>
      <c r="J55" s="347"/>
      <c r="K55" s="149">
        <f t="shared" si="22"/>
        <v>5</v>
      </c>
      <c r="L55" s="309">
        <f t="shared" si="23"/>
        <v>4.8543689320388349E-2</v>
      </c>
      <c r="M55" s="485" t="s">
        <v>780</v>
      </c>
    </row>
    <row r="56" spans="1:13" ht="22.5" x14ac:dyDescent="0.2">
      <c r="A56" s="411" t="s">
        <v>242</v>
      </c>
      <c r="B56" s="479" t="s">
        <v>511</v>
      </c>
      <c r="C56" s="15">
        <v>186</v>
      </c>
      <c r="D56" s="15">
        <v>188</v>
      </c>
      <c r="E56" s="15">
        <v>186</v>
      </c>
      <c r="F56" s="15">
        <v>188</v>
      </c>
      <c r="G56" s="15">
        <v>190</v>
      </c>
      <c r="H56" s="147">
        <f t="shared" si="20"/>
        <v>2</v>
      </c>
      <c r="I56" s="395">
        <f t="shared" si="21"/>
        <v>1.0638297872340425E-2</v>
      </c>
      <c r="J56" s="347"/>
      <c r="K56" s="147">
        <f t="shared" si="22"/>
        <v>4</v>
      </c>
      <c r="L56" s="309">
        <f t="shared" si="23"/>
        <v>2.1505376344086023E-2</v>
      </c>
      <c r="M56" s="136"/>
    </row>
    <row r="57" spans="1:13" ht="41.25" x14ac:dyDescent="0.2">
      <c r="A57" s="411" t="s">
        <v>241</v>
      </c>
      <c r="B57" s="480" t="s">
        <v>512</v>
      </c>
      <c r="C57" s="114">
        <v>45</v>
      </c>
      <c r="D57" s="114">
        <v>46</v>
      </c>
      <c r="E57" s="114">
        <v>45</v>
      </c>
      <c r="F57" s="114">
        <v>46</v>
      </c>
      <c r="G57" s="487">
        <v>46.3</v>
      </c>
      <c r="H57" s="147">
        <f t="shared" si="20"/>
        <v>0.29999999999999716</v>
      </c>
      <c r="I57" s="395">
        <f t="shared" si="21"/>
        <v>6.5217391304347207E-3</v>
      </c>
      <c r="J57" s="347"/>
      <c r="K57" s="147">
        <f t="shared" si="22"/>
        <v>1.2999999999999972</v>
      </c>
      <c r="L57" s="309">
        <f t="shared" si="23"/>
        <v>2.8888888888888825E-2</v>
      </c>
      <c r="M57" s="488"/>
    </row>
    <row r="58" spans="1:13" ht="93.75" x14ac:dyDescent="0.2">
      <c r="A58" s="411" t="s">
        <v>240</v>
      </c>
      <c r="B58" s="480" t="s">
        <v>513</v>
      </c>
      <c r="C58" s="114">
        <v>38</v>
      </c>
      <c r="D58" s="114">
        <v>38</v>
      </c>
      <c r="E58" s="114">
        <v>38</v>
      </c>
      <c r="F58" s="114">
        <v>38</v>
      </c>
      <c r="G58" s="15">
        <v>35</v>
      </c>
      <c r="H58" s="147">
        <f t="shared" si="20"/>
        <v>-3</v>
      </c>
      <c r="I58" s="395">
        <f t="shared" si="21"/>
        <v>-7.8947368421052627E-2</v>
      </c>
      <c r="J58" s="348" t="s">
        <v>781</v>
      </c>
      <c r="K58" s="147">
        <f t="shared" si="22"/>
        <v>-3</v>
      </c>
      <c r="L58" s="309">
        <f t="shared" si="23"/>
        <v>-7.8947368421052627E-2</v>
      </c>
      <c r="M58" s="348" t="s">
        <v>781</v>
      </c>
    </row>
    <row r="59" spans="1:13" ht="22.5" x14ac:dyDescent="0.2">
      <c r="A59" s="411" t="s">
        <v>239</v>
      </c>
      <c r="B59" s="480" t="s">
        <v>514</v>
      </c>
      <c r="C59" s="114">
        <v>177</v>
      </c>
      <c r="D59" s="114">
        <v>179</v>
      </c>
      <c r="E59" s="114">
        <v>177</v>
      </c>
      <c r="F59" s="114">
        <v>179</v>
      </c>
      <c r="G59" s="15">
        <v>184</v>
      </c>
      <c r="H59" s="147">
        <f t="shared" si="20"/>
        <v>5</v>
      </c>
      <c r="I59" s="395">
        <f t="shared" si="21"/>
        <v>2.7932960893854747E-2</v>
      </c>
      <c r="J59" s="347"/>
      <c r="K59" s="147">
        <f t="shared" si="22"/>
        <v>7</v>
      </c>
      <c r="L59" s="309">
        <f t="shared" si="23"/>
        <v>3.954802259887006E-2</v>
      </c>
      <c r="M59" s="134"/>
    </row>
    <row r="60" spans="1:13" ht="37.5" x14ac:dyDescent="0.2">
      <c r="A60" s="475" t="s">
        <v>238</v>
      </c>
      <c r="B60" s="481" t="s">
        <v>237</v>
      </c>
      <c r="C60" s="200">
        <v>1170.3460837887067</v>
      </c>
      <c r="D60" s="200">
        <v>1265.205035971223</v>
      </c>
      <c r="E60" s="200">
        <v>1170.3460837887067</v>
      </c>
      <c r="F60" s="200">
        <v>1265.205035971223</v>
      </c>
      <c r="G60" s="200">
        <v>1342</v>
      </c>
      <c r="H60" s="201">
        <f>G60-F60</f>
        <v>76.794964028777031</v>
      </c>
      <c r="I60" s="477">
        <f t="shared" si="21"/>
        <v>6.0697643342706178E-2</v>
      </c>
      <c r="J60" s="346"/>
      <c r="K60" s="116">
        <f t="shared" si="22"/>
        <v>171.65391621129334</v>
      </c>
      <c r="L60" s="478">
        <f>IFERROR(K60/ABS(E60), "-")</f>
        <v>0.14666936437776262</v>
      </c>
      <c r="M60" s="137"/>
    </row>
    <row r="61" spans="1:13" ht="75" x14ac:dyDescent="0.2">
      <c r="A61" s="411" t="s">
        <v>236</v>
      </c>
      <c r="B61" s="479" t="s">
        <v>510</v>
      </c>
      <c r="C61" s="15">
        <v>2042</v>
      </c>
      <c r="D61" s="15">
        <v>2205</v>
      </c>
      <c r="E61" s="15">
        <v>2042</v>
      </c>
      <c r="F61" s="15">
        <v>2205</v>
      </c>
      <c r="G61" s="5">
        <v>2226.69</v>
      </c>
      <c r="H61" s="147">
        <f t="shared" si="20"/>
        <v>21.690000000000055</v>
      </c>
      <c r="I61" s="395">
        <f t="shared" si="21"/>
        <v>9.8367346938775749E-3</v>
      </c>
      <c r="J61" s="347"/>
      <c r="K61" s="147">
        <f t="shared" si="22"/>
        <v>184.69000000000005</v>
      </c>
      <c r="L61" s="309">
        <f t="shared" si="23"/>
        <v>9.0445641527913831E-2</v>
      </c>
      <c r="M61" s="349" t="s">
        <v>748</v>
      </c>
    </row>
    <row r="62" spans="1:13" ht="75" x14ac:dyDescent="0.2">
      <c r="A62" s="411" t="s">
        <v>235</v>
      </c>
      <c r="B62" s="479" t="s">
        <v>511</v>
      </c>
      <c r="C62" s="15">
        <v>1207</v>
      </c>
      <c r="D62" s="15">
        <v>1305</v>
      </c>
      <c r="E62" s="15">
        <v>1207</v>
      </c>
      <c r="F62" s="15">
        <v>1305</v>
      </c>
      <c r="G62" s="5">
        <v>1332.1289999999999</v>
      </c>
      <c r="H62" s="147">
        <f t="shared" si="20"/>
        <v>27.128999999999905</v>
      </c>
      <c r="I62" s="395">
        <f t="shared" si="21"/>
        <v>2.0788505747126363E-2</v>
      </c>
      <c r="J62" s="482"/>
      <c r="K62" s="147">
        <f t="shared" si="22"/>
        <v>125.12899999999991</v>
      </c>
      <c r="L62" s="309">
        <f t="shared" si="23"/>
        <v>0.10366942833471408</v>
      </c>
      <c r="M62" s="349" t="s">
        <v>748</v>
      </c>
    </row>
    <row r="63" spans="1:13" ht="75" x14ac:dyDescent="0.2">
      <c r="A63" s="411" t="s">
        <v>234</v>
      </c>
      <c r="B63" s="480" t="s">
        <v>512</v>
      </c>
      <c r="C63" s="114">
        <v>718</v>
      </c>
      <c r="D63" s="114">
        <v>776</v>
      </c>
      <c r="E63" s="114">
        <v>718</v>
      </c>
      <c r="F63" s="114">
        <v>776</v>
      </c>
      <c r="G63" s="5">
        <v>783.21</v>
      </c>
      <c r="H63" s="147">
        <f t="shared" si="20"/>
        <v>7.2100000000000364</v>
      </c>
      <c r="I63" s="395">
        <f>IFERROR(H63/ABS(F63), "-")</f>
        <v>9.2912371134021079E-3</v>
      </c>
      <c r="J63" s="434"/>
      <c r="K63" s="147">
        <f t="shared" si="22"/>
        <v>65.210000000000036</v>
      </c>
      <c r="L63" s="309">
        <f>IFERROR(K63/ABS(E63), "-")</f>
        <v>9.0821727019498658E-2</v>
      </c>
      <c r="M63" s="349" t="s">
        <v>748</v>
      </c>
    </row>
    <row r="64" spans="1:13" ht="356.25" x14ac:dyDescent="0.2">
      <c r="A64" s="411" t="s">
        <v>233</v>
      </c>
      <c r="B64" s="480" t="s">
        <v>513</v>
      </c>
      <c r="C64" s="114">
        <v>1420</v>
      </c>
      <c r="D64" s="114">
        <v>1533</v>
      </c>
      <c r="E64" s="114">
        <v>1420</v>
      </c>
      <c r="F64" s="114">
        <v>1533</v>
      </c>
      <c r="G64" s="5">
        <v>2027.423</v>
      </c>
      <c r="H64" s="147">
        <f>G64-F64</f>
        <v>494.423</v>
      </c>
      <c r="I64" s="395">
        <f t="shared" si="21"/>
        <v>0.32251989562948469</v>
      </c>
      <c r="J64" s="349" t="s">
        <v>778</v>
      </c>
      <c r="K64" s="147">
        <f t="shared" si="22"/>
        <v>607.423</v>
      </c>
      <c r="L64" s="309">
        <f t="shared" si="23"/>
        <v>0.42776267605633805</v>
      </c>
      <c r="M64" s="349" t="s">
        <v>778</v>
      </c>
    </row>
    <row r="65" spans="1:13" ht="262.5" x14ac:dyDescent="0.2">
      <c r="A65" s="411" t="s">
        <v>232</v>
      </c>
      <c r="B65" s="480" t="s">
        <v>514</v>
      </c>
      <c r="C65" s="114">
        <v>686</v>
      </c>
      <c r="D65" s="114">
        <v>741</v>
      </c>
      <c r="E65" s="114">
        <v>686</v>
      </c>
      <c r="F65" s="114">
        <v>741</v>
      </c>
      <c r="G65" s="5">
        <v>842.41</v>
      </c>
      <c r="H65" s="147">
        <f t="shared" si="20"/>
        <v>101.40999999999997</v>
      </c>
      <c r="I65" s="395">
        <f t="shared" si="21"/>
        <v>0.13685560053981102</v>
      </c>
      <c r="J65" s="349" t="s">
        <v>802</v>
      </c>
      <c r="K65" s="147">
        <f t="shared" si="22"/>
        <v>156.40999999999997</v>
      </c>
      <c r="L65" s="309">
        <f t="shared" si="23"/>
        <v>0.22800291545189499</v>
      </c>
      <c r="M65" s="349" t="s">
        <v>802</v>
      </c>
    </row>
    <row r="66" spans="1:13" ht="19.5" x14ac:dyDescent="0.2">
      <c r="A66" s="475" t="s">
        <v>231</v>
      </c>
      <c r="B66" s="476" t="s">
        <v>230</v>
      </c>
      <c r="C66" s="200">
        <v>563</v>
      </c>
      <c r="D66" s="200">
        <v>571</v>
      </c>
      <c r="E66" s="200">
        <v>563</v>
      </c>
      <c r="F66" s="200">
        <v>571</v>
      </c>
      <c r="G66" s="200">
        <v>569</v>
      </c>
      <c r="H66" s="201">
        <f t="shared" si="20"/>
        <v>-2</v>
      </c>
      <c r="I66" s="477">
        <f t="shared" si="21"/>
        <v>-3.5026269702276708E-3</v>
      </c>
      <c r="J66" s="346"/>
      <c r="K66" s="116">
        <f t="shared" si="22"/>
        <v>6</v>
      </c>
      <c r="L66" s="478">
        <f t="shared" si="23"/>
        <v>1.0657193605683837E-2</v>
      </c>
      <c r="M66" s="137"/>
    </row>
    <row r="67" spans="1:13" ht="22.5" x14ac:dyDescent="0.2">
      <c r="A67" s="411" t="s">
        <v>229</v>
      </c>
      <c r="B67" s="479" t="s">
        <v>510</v>
      </c>
      <c r="C67" s="15">
        <v>118</v>
      </c>
      <c r="D67" s="15">
        <v>120</v>
      </c>
      <c r="E67" s="15">
        <v>118</v>
      </c>
      <c r="F67" s="15">
        <v>120</v>
      </c>
      <c r="G67" s="5">
        <v>116</v>
      </c>
      <c r="H67" s="149">
        <f t="shared" si="20"/>
        <v>-4</v>
      </c>
      <c r="I67" s="395">
        <f t="shared" si="21"/>
        <v>-3.3333333333333333E-2</v>
      </c>
      <c r="J67" s="347"/>
      <c r="K67" s="149">
        <f t="shared" si="22"/>
        <v>-2</v>
      </c>
      <c r="L67" s="309">
        <f t="shared" si="23"/>
        <v>-1.6949152542372881E-2</v>
      </c>
      <c r="M67" s="135"/>
    </row>
    <row r="68" spans="1:13" ht="93.75" x14ac:dyDescent="0.2">
      <c r="A68" s="411" t="s">
        <v>228</v>
      </c>
      <c r="B68" s="479" t="s">
        <v>511</v>
      </c>
      <c r="C68" s="15">
        <v>179</v>
      </c>
      <c r="D68" s="15">
        <v>181</v>
      </c>
      <c r="E68" s="15">
        <v>179</v>
      </c>
      <c r="F68" s="15">
        <v>181</v>
      </c>
      <c r="G68" s="15">
        <v>188</v>
      </c>
      <c r="H68" s="147">
        <f t="shared" si="20"/>
        <v>7</v>
      </c>
      <c r="I68" s="395">
        <f t="shared" si="21"/>
        <v>3.8674033149171269E-2</v>
      </c>
      <c r="J68" s="347"/>
      <c r="K68" s="147">
        <f t="shared" si="22"/>
        <v>9</v>
      </c>
      <c r="L68" s="309">
        <f t="shared" si="23"/>
        <v>5.027932960893855E-2</v>
      </c>
      <c r="M68" s="349" t="s">
        <v>809</v>
      </c>
    </row>
    <row r="69" spans="1:13" ht="75" x14ac:dyDescent="0.2">
      <c r="A69" s="411" t="s">
        <v>227</v>
      </c>
      <c r="B69" s="480" t="s">
        <v>512</v>
      </c>
      <c r="C69" s="114">
        <v>44</v>
      </c>
      <c r="D69" s="114">
        <v>45</v>
      </c>
      <c r="E69" s="114">
        <v>44</v>
      </c>
      <c r="F69" s="114">
        <v>45</v>
      </c>
      <c r="G69" s="15">
        <v>42</v>
      </c>
      <c r="H69" s="147">
        <f t="shared" si="20"/>
        <v>-3</v>
      </c>
      <c r="I69" s="395">
        <f t="shared" si="21"/>
        <v>-6.6666666666666666E-2</v>
      </c>
      <c r="J69" s="348" t="s">
        <v>807</v>
      </c>
      <c r="K69" s="147">
        <f t="shared" si="22"/>
        <v>-2</v>
      </c>
      <c r="L69" s="309">
        <f t="shared" si="23"/>
        <v>-4.5454545454545456E-2</v>
      </c>
      <c r="M69" s="348" t="s">
        <v>807</v>
      </c>
    </row>
    <row r="70" spans="1:13" ht="112.5" x14ac:dyDescent="0.2">
      <c r="A70" s="411" t="s">
        <v>226</v>
      </c>
      <c r="B70" s="480" t="s">
        <v>513</v>
      </c>
      <c r="C70" s="114">
        <v>38</v>
      </c>
      <c r="D70" s="114">
        <v>39</v>
      </c>
      <c r="E70" s="114">
        <v>38</v>
      </c>
      <c r="F70" s="114">
        <v>39</v>
      </c>
      <c r="G70" s="15">
        <v>35</v>
      </c>
      <c r="H70" s="147">
        <f t="shared" si="20"/>
        <v>-4</v>
      </c>
      <c r="I70" s="395">
        <f t="shared" si="21"/>
        <v>-0.10256410256410256</v>
      </c>
      <c r="J70" s="348" t="s">
        <v>808</v>
      </c>
      <c r="K70" s="147">
        <f t="shared" si="22"/>
        <v>-3</v>
      </c>
      <c r="L70" s="309">
        <f t="shared" si="23"/>
        <v>-7.8947368421052627E-2</v>
      </c>
      <c r="M70" s="348" t="s">
        <v>808</v>
      </c>
    </row>
    <row r="71" spans="1:13" ht="22.5" x14ac:dyDescent="0.2">
      <c r="A71" s="411" t="s">
        <v>225</v>
      </c>
      <c r="B71" s="480" t="s">
        <v>514</v>
      </c>
      <c r="C71" s="114">
        <v>184</v>
      </c>
      <c r="D71" s="114">
        <v>186</v>
      </c>
      <c r="E71" s="114">
        <v>184</v>
      </c>
      <c r="F71" s="114">
        <v>186</v>
      </c>
      <c r="G71" s="15">
        <v>188</v>
      </c>
      <c r="H71" s="147">
        <f t="shared" si="20"/>
        <v>2</v>
      </c>
      <c r="I71" s="395">
        <f>IFERROR(H71/ABS(F71), "-")</f>
        <v>1.0752688172043012E-2</v>
      </c>
      <c r="J71" s="347"/>
      <c r="K71" s="147">
        <f t="shared" si="22"/>
        <v>4</v>
      </c>
      <c r="L71" s="309">
        <f t="shared" si="23"/>
        <v>2.1739130434782608E-2</v>
      </c>
      <c r="M71" s="134"/>
    </row>
    <row r="72" spans="1:13" ht="19.5" x14ac:dyDescent="0.2">
      <c r="A72" s="475" t="s">
        <v>224</v>
      </c>
      <c r="B72" s="476" t="s">
        <v>515</v>
      </c>
      <c r="C72" s="200">
        <v>1149.3428063943161</v>
      </c>
      <c r="D72" s="200">
        <v>1242.555166374781</v>
      </c>
      <c r="E72" s="200">
        <v>1149.3428063943161</v>
      </c>
      <c r="F72" s="200">
        <v>1242.555166374781</v>
      </c>
      <c r="G72" s="200">
        <v>1328</v>
      </c>
      <c r="H72" s="201">
        <f t="shared" si="20"/>
        <v>85.444833625218962</v>
      </c>
      <c r="I72" s="477">
        <f t="shared" si="21"/>
        <v>6.8765424616525225E-2</v>
      </c>
      <c r="J72" s="346"/>
      <c r="K72" s="116">
        <f t="shared" si="22"/>
        <v>178.65719360568391</v>
      </c>
      <c r="L72" s="478">
        <f t="shared" si="23"/>
        <v>0.15544291277740008</v>
      </c>
      <c r="M72" s="137"/>
    </row>
    <row r="73" spans="1:13" ht="112.5" x14ac:dyDescent="0.2">
      <c r="A73" s="411" t="s">
        <v>223</v>
      </c>
      <c r="B73" s="479" t="s">
        <v>510</v>
      </c>
      <c r="C73" s="15">
        <v>1782</v>
      </c>
      <c r="D73" s="15">
        <v>1925</v>
      </c>
      <c r="E73" s="15">
        <v>1782</v>
      </c>
      <c r="F73" s="15">
        <v>1925</v>
      </c>
      <c r="G73" s="5">
        <v>2073.125</v>
      </c>
      <c r="H73" s="149">
        <f t="shared" si="20"/>
        <v>148.125</v>
      </c>
      <c r="I73" s="395">
        <f t="shared" si="21"/>
        <v>7.6948051948051946E-2</v>
      </c>
      <c r="J73" s="349" t="s">
        <v>803</v>
      </c>
      <c r="K73" s="149">
        <f t="shared" si="22"/>
        <v>291.125</v>
      </c>
      <c r="L73" s="309">
        <f t="shared" si="23"/>
        <v>0.16336980920314254</v>
      </c>
      <c r="M73" s="349" t="s">
        <v>748</v>
      </c>
    </row>
    <row r="74" spans="1:13" ht="75" x14ac:dyDescent="0.2">
      <c r="A74" s="411" t="s">
        <v>222</v>
      </c>
      <c r="B74" s="479" t="s">
        <v>511</v>
      </c>
      <c r="C74" s="15">
        <v>1254</v>
      </c>
      <c r="D74" s="15">
        <v>1355</v>
      </c>
      <c r="E74" s="15">
        <v>1254</v>
      </c>
      <c r="F74" s="15">
        <v>1355</v>
      </c>
      <c r="G74" s="15">
        <v>1346.3009999999999</v>
      </c>
      <c r="H74" s="147">
        <f t="shared" si="20"/>
        <v>-8.6990000000000691</v>
      </c>
      <c r="I74" s="395">
        <f t="shared" si="21"/>
        <v>-6.4199261992620438E-3</v>
      </c>
      <c r="J74" s="433"/>
      <c r="K74" s="147">
        <f t="shared" si="22"/>
        <v>92.300999999999931</v>
      </c>
      <c r="L74" s="309">
        <f t="shared" si="23"/>
        <v>7.3605263157894688E-2</v>
      </c>
      <c r="M74" s="349" t="s">
        <v>748</v>
      </c>
    </row>
    <row r="75" spans="1:13" ht="150" x14ac:dyDescent="0.2">
      <c r="A75" s="411" t="s">
        <v>221</v>
      </c>
      <c r="B75" s="480" t="s">
        <v>512</v>
      </c>
      <c r="C75" s="114">
        <v>735</v>
      </c>
      <c r="D75" s="114">
        <v>794</v>
      </c>
      <c r="E75" s="114">
        <v>735</v>
      </c>
      <c r="F75" s="114">
        <v>794</v>
      </c>
      <c r="G75" s="15">
        <v>863.39</v>
      </c>
      <c r="H75" s="147">
        <f t="shared" si="20"/>
        <v>69.389999999999986</v>
      </c>
      <c r="I75" s="395">
        <f t="shared" si="21"/>
        <v>8.739294710327454E-2</v>
      </c>
      <c r="J75" s="349" t="s">
        <v>804</v>
      </c>
      <c r="K75" s="147">
        <f t="shared" si="22"/>
        <v>128.38999999999999</v>
      </c>
      <c r="L75" s="309">
        <f t="shared" si="23"/>
        <v>0.17468027210884352</v>
      </c>
      <c r="M75" s="349" t="s">
        <v>748</v>
      </c>
    </row>
    <row r="76" spans="1:13" ht="409.5" x14ac:dyDescent="0.2">
      <c r="A76" s="411" t="s">
        <v>220</v>
      </c>
      <c r="B76" s="480" t="s">
        <v>513</v>
      </c>
      <c r="C76" s="114">
        <v>1541</v>
      </c>
      <c r="D76" s="114">
        <v>1664</v>
      </c>
      <c r="E76" s="114">
        <v>1541</v>
      </c>
      <c r="F76" s="114">
        <v>1664</v>
      </c>
      <c r="G76" s="15">
        <v>2027</v>
      </c>
      <c r="H76" s="147">
        <f t="shared" si="20"/>
        <v>363</v>
      </c>
      <c r="I76" s="395">
        <f t="shared" si="21"/>
        <v>0.21814903846153846</v>
      </c>
      <c r="J76" s="349" t="s">
        <v>805</v>
      </c>
      <c r="K76" s="147">
        <f t="shared" si="22"/>
        <v>486</v>
      </c>
      <c r="L76" s="309">
        <f t="shared" si="23"/>
        <v>0.31537962362102528</v>
      </c>
      <c r="M76" s="349" t="s">
        <v>805</v>
      </c>
    </row>
    <row r="77" spans="1:13" ht="262.5" x14ac:dyDescent="0.2">
      <c r="A77" s="411" t="s">
        <v>219</v>
      </c>
      <c r="B77" s="480" t="s">
        <v>514</v>
      </c>
      <c r="C77" s="114">
        <v>660</v>
      </c>
      <c r="D77" s="114">
        <v>713</v>
      </c>
      <c r="E77" s="114">
        <v>660</v>
      </c>
      <c r="F77" s="114">
        <v>713</v>
      </c>
      <c r="G77" s="15">
        <v>824.48</v>
      </c>
      <c r="H77" s="147">
        <f t="shared" si="20"/>
        <v>111.48000000000002</v>
      </c>
      <c r="I77" s="395">
        <f t="shared" si="21"/>
        <v>0.15635343618513325</v>
      </c>
      <c r="J77" s="349" t="s">
        <v>802</v>
      </c>
      <c r="K77" s="147">
        <f t="shared" si="22"/>
        <v>164.48000000000002</v>
      </c>
      <c r="L77" s="309">
        <f t="shared" si="23"/>
        <v>0.24921212121212125</v>
      </c>
      <c r="M77" s="349" t="s">
        <v>802</v>
      </c>
    </row>
    <row r="78" spans="1:13" ht="19.5" x14ac:dyDescent="0.2">
      <c r="A78" s="483" t="s">
        <v>493</v>
      </c>
      <c r="B78" s="484" t="s">
        <v>494</v>
      </c>
      <c r="C78" s="343" t="s">
        <v>216</v>
      </c>
      <c r="D78" s="343" t="s">
        <v>216</v>
      </c>
      <c r="E78" s="343" t="s">
        <v>216</v>
      </c>
      <c r="F78" s="343" t="s">
        <v>216</v>
      </c>
      <c r="G78" s="344" t="s">
        <v>216</v>
      </c>
      <c r="H78" s="344" t="s">
        <v>216</v>
      </c>
      <c r="I78" s="432" t="s">
        <v>216</v>
      </c>
      <c r="J78" s="432" t="s">
        <v>216</v>
      </c>
      <c r="K78" s="432" t="s">
        <v>216</v>
      </c>
      <c r="L78" s="432" t="s">
        <v>216</v>
      </c>
      <c r="M78" s="432" t="s">
        <v>216</v>
      </c>
    </row>
    <row r="79" spans="1:13" x14ac:dyDescent="0.2">
      <c r="A79" s="411" t="s">
        <v>495</v>
      </c>
      <c r="B79" s="480" t="s">
        <v>496</v>
      </c>
      <c r="C79" s="138">
        <v>16</v>
      </c>
      <c r="D79" s="138">
        <v>16</v>
      </c>
      <c r="E79" s="138">
        <v>16</v>
      </c>
      <c r="F79" s="138">
        <v>16</v>
      </c>
      <c r="G79" s="15">
        <v>16</v>
      </c>
      <c r="H79" s="147">
        <f t="shared" ref="H79:H82" si="24">G79-F79</f>
        <v>0</v>
      </c>
      <c r="I79" s="431">
        <f t="shared" ref="I79:I82" si="25">IFERROR(H79/ABS(F79), "-")</f>
        <v>0</v>
      </c>
      <c r="J79" s="482"/>
      <c r="K79" s="147">
        <f t="shared" ref="K79:K82" si="26">G79-E79</f>
        <v>0</v>
      </c>
      <c r="L79" s="309">
        <f t="shared" ref="L79:L82" si="27">IFERROR(K79/ABS(E79), "-")</f>
        <v>0</v>
      </c>
      <c r="M79" s="482"/>
    </row>
    <row r="80" spans="1:13" ht="56.25" x14ac:dyDescent="0.2">
      <c r="A80" s="411" t="s">
        <v>497</v>
      </c>
      <c r="B80" s="480" t="s">
        <v>498</v>
      </c>
      <c r="C80" s="138">
        <v>48</v>
      </c>
      <c r="D80" s="138">
        <v>49</v>
      </c>
      <c r="E80" s="138">
        <v>48</v>
      </c>
      <c r="F80" s="138">
        <v>49</v>
      </c>
      <c r="G80" s="16">
        <v>48.69</v>
      </c>
      <c r="H80" s="147">
        <f t="shared" si="24"/>
        <v>-0.31000000000000227</v>
      </c>
      <c r="I80" s="431">
        <f t="shared" si="25"/>
        <v>-6.3265306122449443E-3</v>
      </c>
      <c r="J80" s="434"/>
      <c r="K80" s="147">
        <f t="shared" si="26"/>
        <v>0.68999999999999773</v>
      </c>
      <c r="L80" s="309">
        <f t="shared" si="27"/>
        <v>1.4374999999999952E-2</v>
      </c>
      <c r="M80" s="434"/>
    </row>
    <row r="81" spans="1:13" ht="56.25" x14ac:dyDescent="0.2">
      <c r="A81" s="411" t="s">
        <v>499</v>
      </c>
      <c r="B81" s="480" t="s">
        <v>575</v>
      </c>
      <c r="C81" s="138">
        <v>24</v>
      </c>
      <c r="D81" s="138">
        <v>23</v>
      </c>
      <c r="E81" s="138">
        <v>24</v>
      </c>
      <c r="F81" s="138">
        <v>23</v>
      </c>
      <c r="G81" s="15">
        <v>23</v>
      </c>
      <c r="H81" s="147">
        <f t="shared" si="24"/>
        <v>0</v>
      </c>
      <c r="I81" s="431">
        <f t="shared" si="25"/>
        <v>0</v>
      </c>
      <c r="J81" s="143"/>
      <c r="K81" s="147">
        <f t="shared" si="26"/>
        <v>-1</v>
      </c>
      <c r="L81" s="309">
        <f t="shared" si="27"/>
        <v>-4.1666666666666664E-2</v>
      </c>
      <c r="M81" s="134"/>
    </row>
    <row r="82" spans="1:13" ht="56.25" x14ac:dyDescent="0.2">
      <c r="A82" s="411" t="s">
        <v>500</v>
      </c>
      <c r="B82" s="480" t="s">
        <v>501</v>
      </c>
      <c r="C82" s="138">
        <v>39</v>
      </c>
      <c r="D82" s="138">
        <v>38</v>
      </c>
      <c r="E82" s="138">
        <v>39</v>
      </c>
      <c r="F82" s="138">
        <v>38</v>
      </c>
      <c r="G82" s="15">
        <v>39</v>
      </c>
      <c r="H82" s="147">
        <f t="shared" si="24"/>
        <v>1</v>
      </c>
      <c r="I82" s="431">
        <f t="shared" si="25"/>
        <v>2.6315789473684209E-2</v>
      </c>
      <c r="J82" s="143"/>
      <c r="K82" s="147">
        <f t="shared" si="26"/>
        <v>0</v>
      </c>
      <c r="L82" s="309">
        <f t="shared" si="27"/>
        <v>0</v>
      </c>
      <c r="M82" s="134"/>
    </row>
    <row r="83" spans="1:13" ht="19.5" x14ac:dyDescent="0.2">
      <c r="A83" s="93" t="s">
        <v>218</v>
      </c>
      <c r="B83" s="94" t="s">
        <v>502</v>
      </c>
      <c r="C83" s="98" t="s">
        <v>216</v>
      </c>
      <c r="D83" s="98" t="s">
        <v>216</v>
      </c>
      <c r="E83" s="98" t="s">
        <v>216</v>
      </c>
      <c r="F83" s="98" t="s">
        <v>216</v>
      </c>
      <c r="G83" s="80" t="s">
        <v>216</v>
      </c>
      <c r="H83" s="80" t="s">
        <v>216</v>
      </c>
      <c r="I83" s="81" t="s">
        <v>216</v>
      </c>
      <c r="J83" s="81" t="s">
        <v>216</v>
      </c>
      <c r="K83" s="81" t="s">
        <v>216</v>
      </c>
      <c r="L83" s="81" t="s">
        <v>216</v>
      </c>
      <c r="M83" s="81" t="s">
        <v>216</v>
      </c>
    </row>
    <row r="84" spans="1:13" s="42" customFormat="1" ht="22.5" x14ac:dyDescent="0.2">
      <c r="A84" s="89" t="s">
        <v>217</v>
      </c>
      <c r="B84" s="55" t="s">
        <v>516</v>
      </c>
      <c r="C84" s="115">
        <v>26842.3</v>
      </c>
      <c r="D84" s="115">
        <v>26842.3</v>
      </c>
      <c r="E84" s="115">
        <v>26842.3</v>
      </c>
      <c r="F84" s="115">
        <v>26842.3</v>
      </c>
      <c r="G84" s="16">
        <v>26842</v>
      </c>
      <c r="H84" s="145">
        <f t="shared" ref="H84:H89" si="28">G84-F84</f>
        <v>-0.2999999999992724</v>
      </c>
      <c r="I84" s="140">
        <f t="shared" ref="I84:I89" si="29">IFERROR(H84/ABS(F84), "-")</f>
        <v>-1.1176389504598057E-5</v>
      </c>
      <c r="J84" s="144"/>
      <c r="K84" s="145">
        <f t="shared" ref="K84:K86" si="30">G84-E84</f>
        <v>-0.2999999999992724</v>
      </c>
      <c r="L84" s="146">
        <f t="shared" ref="L84:L87" si="31">IFERROR(K84/ABS(E84), "-")</f>
        <v>-1.1176389504598057E-5</v>
      </c>
      <c r="M84" s="136"/>
    </row>
    <row r="85" spans="1:13" s="42" customFormat="1" ht="37.5" x14ac:dyDescent="0.2">
      <c r="A85" s="89" t="s">
        <v>581</v>
      </c>
      <c r="B85" s="99" t="s">
        <v>359</v>
      </c>
      <c r="C85" s="115">
        <v>7361</v>
      </c>
      <c r="D85" s="115">
        <v>7361</v>
      </c>
      <c r="E85" s="115">
        <v>7361</v>
      </c>
      <c r="F85" s="115">
        <v>7361</v>
      </c>
      <c r="G85" s="16">
        <v>7361</v>
      </c>
      <c r="H85" s="145">
        <f t="shared" si="28"/>
        <v>0</v>
      </c>
      <c r="I85" s="140">
        <f t="shared" si="29"/>
        <v>0</v>
      </c>
      <c r="J85" s="144"/>
      <c r="K85" s="145">
        <f t="shared" si="30"/>
        <v>0</v>
      </c>
      <c r="L85" s="146">
        <f t="shared" si="31"/>
        <v>0</v>
      </c>
      <c r="M85" s="136"/>
    </row>
    <row r="86" spans="1:13" s="42" customFormat="1" x14ac:dyDescent="0.2">
      <c r="A86" s="89" t="s">
        <v>580</v>
      </c>
      <c r="B86" s="54" t="s">
        <v>213</v>
      </c>
      <c r="C86" s="115">
        <v>3739990</v>
      </c>
      <c r="D86" s="115">
        <v>3859670</v>
      </c>
      <c r="E86" s="115">
        <v>3739990</v>
      </c>
      <c r="F86" s="115">
        <v>3859670</v>
      </c>
      <c r="G86" s="132">
        <f>2553550+545830+404310+387240</f>
        <v>3890930</v>
      </c>
      <c r="H86" s="145">
        <f t="shared" si="28"/>
        <v>31260</v>
      </c>
      <c r="I86" s="140">
        <f t="shared" si="29"/>
        <v>8.0991380092080411E-3</v>
      </c>
      <c r="J86" s="471"/>
      <c r="K86" s="145">
        <f t="shared" si="30"/>
        <v>150940</v>
      </c>
      <c r="L86" s="146">
        <f t="shared" si="31"/>
        <v>4.0358396680205029E-2</v>
      </c>
      <c r="M86" s="471"/>
    </row>
    <row r="87" spans="1:13" s="42" customFormat="1" ht="37.5" x14ac:dyDescent="0.2">
      <c r="A87" s="89" t="s">
        <v>582</v>
      </c>
      <c r="B87" s="54" t="s">
        <v>212</v>
      </c>
      <c r="C87" s="115">
        <v>1748100</v>
      </c>
      <c r="D87" s="115">
        <v>1832009</v>
      </c>
      <c r="E87" s="115">
        <v>1748100</v>
      </c>
      <c r="F87" s="115">
        <v>1832009</v>
      </c>
      <c r="G87" s="132">
        <f>1273524+148105+147193+163778</f>
        <v>1732600</v>
      </c>
      <c r="H87" s="145">
        <f>G87-F87</f>
        <v>-99409</v>
      </c>
      <c r="I87" s="140">
        <f t="shared" si="29"/>
        <v>-5.4262288012777229E-2</v>
      </c>
      <c r="J87" s="357" t="s">
        <v>799</v>
      </c>
      <c r="K87" s="145">
        <f>G87-E87</f>
        <v>-15500</v>
      </c>
      <c r="L87" s="146">
        <f t="shared" si="31"/>
        <v>-8.8667696356043713E-3</v>
      </c>
      <c r="M87" s="472"/>
    </row>
    <row r="88" spans="1:13" s="42" customFormat="1" ht="22.5" x14ac:dyDescent="0.2">
      <c r="A88" s="89" t="s">
        <v>215</v>
      </c>
      <c r="B88" s="54" t="s">
        <v>517</v>
      </c>
      <c r="C88" s="115">
        <v>18032</v>
      </c>
      <c r="D88" s="115">
        <v>18916</v>
      </c>
      <c r="E88" s="115">
        <v>18032</v>
      </c>
      <c r="F88" s="115">
        <v>18916</v>
      </c>
      <c r="G88" s="132">
        <f>13978+530+969+574+938+576+985</f>
        <v>18550</v>
      </c>
      <c r="H88" s="145">
        <f t="shared" si="28"/>
        <v>-366</v>
      </c>
      <c r="I88" s="140">
        <f t="shared" si="29"/>
        <v>-1.9348699513639246E-2</v>
      </c>
      <c r="J88" s="486"/>
      <c r="K88" s="145">
        <f>G88-E88</f>
        <v>518</v>
      </c>
      <c r="L88" s="146">
        <f>IFERROR(K88/ABS(E88), "-")</f>
        <v>2.872670807453416E-2</v>
      </c>
      <c r="M88" s="472"/>
    </row>
    <row r="89" spans="1:13" s="42" customFormat="1" ht="22.5" x14ac:dyDescent="0.2">
      <c r="A89" s="89" t="s">
        <v>214</v>
      </c>
      <c r="B89" s="54" t="s">
        <v>518</v>
      </c>
      <c r="C89" s="115">
        <v>19033.009999999995</v>
      </c>
      <c r="D89" s="115">
        <v>19966</v>
      </c>
      <c r="E89" s="115">
        <v>19033.009999999995</v>
      </c>
      <c r="F89" s="115">
        <v>19966</v>
      </c>
      <c r="G89" s="132">
        <f>14956.03+576+985+108.67+574+938+108.67+530+969+108.67</f>
        <v>19854.039999999994</v>
      </c>
      <c r="H89" s="145">
        <f t="shared" si="28"/>
        <v>-111.9600000000064</v>
      </c>
      <c r="I89" s="140">
        <f t="shared" si="29"/>
        <v>-5.6075328057701296E-3</v>
      </c>
      <c r="J89" s="486"/>
      <c r="K89" s="145">
        <f>G89-E89</f>
        <v>821.02999999999884</v>
      </c>
      <c r="L89" s="146">
        <f>IFERROR(K89/ABS(E89), "-")</f>
        <v>4.3137160123385587E-2</v>
      </c>
      <c r="M89" s="472"/>
    </row>
    <row r="90" spans="1:13" s="42" customFormat="1" ht="37.5" x14ac:dyDescent="0.2">
      <c r="A90" s="96" t="s">
        <v>503</v>
      </c>
      <c r="B90" s="100" t="s">
        <v>504</v>
      </c>
      <c r="C90" s="101" t="s">
        <v>216</v>
      </c>
      <c r="D90" s="101" t="s">
        <v>216</v>
      </c>
      <c r="E90" s="101" t="s">
        <v>216</v>
      </c>
      <c r="F90" s="101" t="s">
        <v>216</v>
      </c>
      <c r="G90" s="102" t="s">
        <v>216</v>
      </c>
      <c r="H90" s="97" t="s">
        <v>216</v>
      </c>
      <c r="I90" s="103" t="s">
        <v>216</v>
      </c>
      <c r="J90" s="103" t="s">
        <v>216</v>
      </c>
      <c r="K90" s="103" t="s">
        <v>216</v>
      </c>
      <c r="L90" s="103" t="s">
        <v>216</v>
      </c>
      <c r="M90" s="103" t="s">
        <v>216</v>
      </c>
    </row>
    <row r="91" spans="1:13" s="42" customFormat="1" ht="41.25" x14ac:dyDescent="0.2">
      <c r="A91" s="89" t="s">
        <v>505</v>
      </c>
      <c r="B91" s="54" t="s">
        <v>519</v>
      </c>
      <c r="C91" s="115"/>
      <c r="D91" s="115"/>
      <c r="E91" s="115"/>
      <c r="F91" s="115"/>
      <c r="G91" s="7"/>
      <c r="H91" s="145">
        <f>G91-F91</f>
        <v>0</v>
      </c>
      <c r="I91" s="140" t="str">
        <f>IFERROR(H91/ABS(F91), "-")</f>
        <v>-</v>
      </c>
      <c r="J91" s="144"/>
      <c r="K91" s="145">
        <f>G91-E91</f>
        <v>0</v>
      </c>
      <c r="L91" s="146" t="str">
        <f>IFERROR(K91/ABS(E91), "-")</f>
        <v>-</v>
      </c>
      <c r="M91" s="136"/>
    </row>
    <row r="92" spans="1:13" s="42" customFormat="1" x14ac:dyDescent="0.2">
      <c r="A92" s="104"/>
      <c r="B92" s="105"/>
      <c r="C92" s="106"/>
      <c r="D92" s="106"/>
      <c r="E92" s="106"/>
      <c r="F92" s="106"/>
      <c r="G92" s="107"/>
      <c r="H92" s="108"/>
      <c r="I92" s="109"/>
      <c r="J92" s="109"/>
      <c r="K92" s="110"/>
    </row>
    <row r="93" spans="1:13" s="42" customFormat="1" x14ac:dyDescent="0.2">
      <c r="A93" s="182" t="s">
        <v>583</v>
      </c>
      <c r="B93" s="105"/>
      <c r="C93" s="106"/>
      <c r="D93" s="106"/>
      <c r="E93" s="106"/>
      <c r="F93" s="106"/>
      <c r="G93" s="107"/>
      <c r="H93" s="108"/>
      <c r="I93" s="109"/>
      <c r="J93" s="109"/>
      <c r="K93" s="110"/>
    </row>
    <row r="94" spans="1:13" s="111" customFormat="1" x14ac:dyDescent="0.2">
      <c r="A94" s="761" t="s">
        <v>520</v>
      </c>
      <c r="B94" s="761"/>
      <c r="C94" s="761"/>
      <c r="D94" s="761"/>
      <c r="E94" s="761"/>
      <c r="F94" s="761"/>
      <c r="G94" s="761"/>
      <c r="H94" s="761"/>
      <c r="I94" s="761"/>
      <c r="J94" s="761"/>
      <c r="K94" s="761"/>
    </row>
    <row r="95" spans="1:13" s="111" customFormat="1" ht="18.75" customHeight="1" x14ac:dyDescent="0.2">
      <c r="A95" s="761" t="s">
        <v>521</v>
      </c>
      <c r="B95" s="761"/>
      <c r="C95" s="761"/>
      <c r="D95" s="761"/>
      <c r="E95" s="761"/>
      <c r="F95" s="761"/>
      <c r="G95" s="761"/>
      <c r="H95" s="761"/>
      <c r="I95" s="761"/>
      <c r="J95" s="761"/>
      <c r="K95" s="761"/>
    </row>
    <row r="96" spans="1:13" s="111" customFormat="1" ht="18" customHeight="1" x14ac:dyDescent="0.2">
      <c r="A96" s="761" t="s">
        <v>522</v>
      </c>
      <c r="B96" s="761"/>
      <c r="C96" s="761"/>
      <c r="D96" s="761"/>
      <c r="E96" s="761"/>
      <c r="F96" s="761"/>
      <c r="G96" s="761"/>
      <c r="H96" s="761"/>
      <c r="I96" s="761"/>
      <c r="J96" s="761"/>
      <c r="K96" s="761"/>
    </row>
    <row r="97" spans="1:11" s="111" customFormat="1" ht="21.75" customHeight="1" x14ac:dyDescent="0.2">
      <c r="A97" s="761" t="s">
        <v>523</v>
      </c>
      <c r="B97" s="761"/>
      <c r="C97" s="761"/>
      <c r="D97" s="761"/>
      <c r="E97" s="761"/>
      <c r="F97" s="761"/>
      <c r="G97" s="761"/>
      <c r="H97" s="761"/>
      <c r="I97" s="761"/>
      <c r="J97" s="761"/>
      <c r="K97" s="761"/>
    </row>
    <row r="98" spans="1:11" s="111" customFormat="1" ht="18" customHeight="1" x14ac:dyDescent="0.2">
      <c r="A98" s="761" t="s">
        <v>524</v>
      </c>
      <c r="B98" s="761"/>
      <c r="C98" s="761"/>
      <c r="D98" s="761"/>
      <c r="E98" s="761"/>
      <c r="F98" s="761"/>
      <c r="G98" s="761"/>
      <c r="H98" s="761"/>
      <c r="I98" s="761"/>
      <c r="J98" s="761"/>
      <c r="K98" s="761"/>
    </row>
    <row r="99" spans="1:11" s="111" customFormat="1" ht="17.25" customHeight="1" x14ac:dyDescent="0.2">
      <c r="A99" s="761" t="s">
        <v>525</v>
      </c>
      <c r="B99" s="761"/>
      <c r="C99" s="761"/>
      <c r="D99" s="761"/>
      <c r="E99" s="761"/>
      <c r="F99" s="761"/>
      <c r="G99" s="761"/>
      <c r="H99" s="761"/>
      <c r="I99" s="761"/>
      <c r="J99" s="761"/>
      <c r="K99" s="761"/>
    </row>
    <row r="100" spans="1:11" s="111" customFormat="1" x14ac:dyDescent="0.2">
      <c r="A100" s="761" t="s">
        <v>506</v>
      </c>
      <c r="B100" s="761"/>
      <c r="C100" s="761"/>
      <c r="D100" s="761"/>
      <c r="E100" s="761"/>
      <c r="F100" s="761"/>
      <c r="G100" s="761"/>
      <c r="H100" s="761"/>
      <c r="I100" s="761"/>
      <c r="J100" s="761"/>
      <c r="K100" s="761"/>
    </row>
    <row r="101" spans="1:11" s="111" customFormat="1" x14ac:dyDescent="0.2">
      <c r="A101" s="761" t="s">
        <v>526</v>
      </c>
      <c r="B101" s="761"/>
      <c r="C101" s="761"/>
      <c r="D101" s="761"/>
      <c r="E101" s="761"/>
      <c r="F101" s="761"/>
      <c r="G101" s="761"/>
      <c r="H101" s="761"/>
      <c r="I101" s="761"/>
      <c r="J101" s="761"/>
      <c r="K101" s="761"/>
    </row>
    <row r="102" spans="1:11" s="111" customFormat="1" ht="41.25" customHeight="1" x14ac:dyDescent="0.2">
      <c r="A102" s="761" t="s">
        <v>527</v>
      </c>
      <c r="B102" s="761"/>
      <c r="C102" s="761"/>
      <c r="D102" s="761"/>
      <c r="E102" s="761"/>
      <c r="F102" s="761"/>
      <c r="G102" s="761"/>
      <c r="H102" s="761"/>
      <c r="I102" s="761"/>
      <c r="J102" s="761"/>
      <c r="K102" s="761"/>
    </row>
    <row r="103" spans="1:11" s="111" customFormat="1" ht="40.5" customHeight="1" x14ac:dyDescent="0.2">
      <c r="A103" s="761" t="s">
        <v>576</v>
      </c>
      <c r="B103" s="761"/>
      <c r="C103" s="761"/>
      <c r="D103" s="761"/>
      <c r="E103" s="761"/>
      <c r="F103" s="761"/>
      <c r="G103" s="761"/>
      <c r="H103" s="761"/>
      <c r="I103" s="761"/>
      <c r="J103" s="761"/>
      <c r="K103" s="761"/>
    </row>
    <row r="104" spans="1:11" s="111" customFormat="1" x14ac:dyDescent="0.2">
      <c r="A104" s="761" t="s">
        <v>577</v>
      </c>
      <c r="B104" s="761"/>
      <c r="C104" s="761"/>
      <c r="D104" s="761"/>
      <c r="E104" s="761"/>
      <c r="F104" s="761"/>
      <c r="G104" s="761"/>
      <c r="H104" s="761"/>
      <c r="I104" s="761"/>
      <c r="J104" s="761"/>
      <c r="K104" s="761"/>
    </row>
    <row r="105" spans="1:11" s="111" customFormat="1" x14ac:dyDescent="0.2">
      <c r="A105" s="761" t="s">
        <v>578</v>
      </c>
      <c r="B105" s="761"/>
      <c r="C105" s="761"/>
      <c r="D105" s="761"/>
      <c r="E105" s="761"/>
      <c r="F105" s="761"/>
      <c r="G105" s="761"/>
      <c r="H105" s="761"/>
      <c r="I105" s="761"/>
      <c r="J105" s="761"/>
      <c r="K105" s="761"/>
    </row>
    <row r="106" spans="1:11" s="111" customFormat="1" x14ac:dyDescent="0.2">
      <c r="A106" s="761" t="s">
        <v>579</v>
      </c>
      <c r="B106" s="761"/>
      <c r="C106" s="761"/>
      <c r="D106" s="761"/>
      <c r="E106" s="761"/>
      <c r="F106" s="761"/>
      <c r="G106" s="761"/>
      <c r="H106" s="761"/>
      <c r="I106" s="761"/>
      <c r="J106" s="761"/>
      <c r="K106" s="761"/>
    </row>
    <row r="107" spans="1:11" ht="22.5" x14ac:dyDescent="0.2">
      <c r="A107" s="8" t="s">
        <v>650</v>
      </c>
    </row>
  </sheetData>
  <sheetProtection formatColumns="0" formatRows="0"/>
  <mergeCells count="13">
    <mergeCell ref="A99:K99"/>
    <mergeCell ref="A94:K94"/>
    <mergeCell ref="A95:K95"/>
    <mergeCell ref="A96:K96"/>
    <mergeCell ref="A97:K97"/>
    <mergeCell ref="A98:K98"/>
    <mergeCell ref="A106:K106"/>
    <mergeCell ref="A100:K100"/>
    <mergeCell ref="A101:K101"/>
    <mergeCell ref="A102:K102"/>
    <mergeCell ref="A103:K103"/>
    <mergeCell ref="A104:K104"/>
    <mergeCell ref="A105:K105"/>
  </mergeCells>
  <pageMargins left="0.70866141732283472" right="0.70866141732283472" top="0.59055118110236227" bottom="0.51181102362204722" header="0.31496062992125984" footer="0.31496062992125984"/>
  <pageSetup paperSize="9" scale="29" fitToHeight="2" orientation="portrait" r:id="rId1"/>
  <headerFooter>
    <oddHeader xml:space="preserve">&amp;C&amp;"Times New Roman,Bold"&amp;14
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6">
    <tabColor rgb="FF00B0F0"/>
    <pageSetUpPr fitToPage="1"/>
  </sheetPr>
  <dimension ref="A1:M131"/>
  <sheetViews>
    <sheetView topLeftCell="F1" zoomScale="85" zoomScaleNormal="85" workbookViewId="0">
      <selection activeCell="M3" sqref="M3:M15"/>
    </sheetView>
  </sheetViews>
  <sheetFormatPr defaultColWidth="7.7109375" defaultRowHeight="18.75" x14ac:dyDescent="0.3"/>
  <cols>
    <col min="1" max="1" width="8.140625" style="195" customWidth="1"/>
    <col min="2" max="2" width="45" style="195" customWidth="1"/>
    <col min="3" max="3" width="18.28515625" style="195" bestFit="1" customWidth="1"/>
    <col min="4" max="4" width="15.28515625" style="195" customWidth="1"/>
    <col min="5" max="5" width="17.28515625" style="467" customWidth="1"/>
    <col min="6" max="6" width="18" style="195" bestFit="1" customWidth="1"/>
    <col min="7" max="7" width="17.28515625" style="467" bestFit="1" customWidth="1"/>
    <col min="8" max="9" width="18.7109375" style="195" customWidth="1"/>
    <col min="10" max="12" width="19" style="195" customWidth="1"/>
    <col min="13" max="13" width="38.28515625" style="468" customWidth="1"/>
    <col min="14" max="14" width="22.5703125" style="195" customWidth="1"/>
    <col min="15" max="209" width="9.140625" style="195" customWidth="1"/>
    <col min="210" max="210" width="3.140625" style="195" customWidth="1"/>
    <col min="211" max="211" width="4.42578125" style="195" customWidth="1"/>
    <col min="212" max="212" width="26" style="195" customWidth="1"/>
    <col min="213" max="213" width="8.7109375" style="195" customWidth="1"/>
    <col min="214" max="215" width="7.7109375" style="195"/>
    <col min="216" max="216" width="8.7109375" style="195" customWidth="1"/>
    <col min="217" max="218" width="7.7109375" style="195"/>
    <col min="219" max="219" width="8.7109375" style="195" customWidth="1"/>
    <col min="220" max="16384" width="7.7109375" style="195"/>
  </cols>
  <sheetData>
    <row r="1" spans="1:13" ht="131.25" x14ac:dyDescent="0.3">
      <c r="A1" s="191" t="s">
        <v>0</v>
      </c>
      <c r="B1" s="192" t="s">
        <v>561</v>
      </c>
      <c r="C1" s="193" t="s">
        <v>654</v>
      </c>
      <c r="D1" s="193" t="s">
        <v>655</v>
      </c>
      <c r="E1" s="193" t="s">
        <v>795</v>
      </c>
      <c r="F1" s="193" t="s">
        <v>796</v>
      </c>
      <c r="G1" s="193" t="s">
        <v>798</v>
      </c>
      <c r="H1" s="194" t="s">
        <v>660</v>
      </c>
      <c r="I1" s="194" t="s">
        <v>659</v>
      </c>
      <c r="J1" s="193" t="s">
        <v>651</v>
      </c>
      <c r="K1" s="194" t="s">
        <v>661</v>
      </c>
      <c r="L1" s="194" t="s">
        <v>658</v>
      </c>
      <c r="M1" s="361" t="s">
        <v>755</v>
      </c>
    </row>
    <row r="2" spans="1:13" x14ac:dyDescent="0.3">
      <c r="A2" s="191">
        <v>1</v>
      </c>
      <c r="B2" s="192">
        <v>2</v>
      </c>
      <c r="C2" s="193">
        <v>3</v>
      </c>
      <c r="D2" s="193">
        <v>4</v>
      </c>
      <c r="E2" s="193">
        <v>5</v>
      </c>
      <c r="F2" s="193">
        <v>6</v>
      </c>
      <c r="G2" s="193">
        <v>7</v>
      </c>
      <c r="H2" s="194">
        <v>8</v>
      </c>
      <c r="I2" s="196">
        <v>9</v>
      </c>
      <c r="J2" s="193">
        <v>10</v>
      </c>
      <c r="K2" s="197">
        <v>11</v>
      </c>
      <c r="L2" s="196">
        <v>12</v>
      </c>
      <c r="M2" s="361">
        <v>13</v>
      </c>
    </row>
    <row r="3" spans="1:13" ht="19.5" x14ac:dyDescent="0.3">
      <c r="A3" s="198">
        <v>51000</v>
      </c>
      <c r="B3" s="199" t="s">
        <v>293</v>
      </c>
      <c r="C3" s="200">
        <v>0</v>
      </c>
      <c r="D3" s="200">
        <v>0</v>
      </c>
      <c r="E3" s="200">
        <v>0</v>
      </c>
      <c r="F3" s="200">
        <v>0</v>
      </c>
      <c r="G3" s="492">
        <f t="shared" ref="G3" ca="1" si="0">G4+G7+G10+G13</f>
        <v>0</v>
      </c>
      <c r="H3" s="201">
        <f t="shared" ref="H3:H27" ca="1" si="1">G3-F3</f>
        <v>0</v>
      </c>
      <c r="I3" s="202" t="str">
        <f t="shared" ref="I3:I27" ca="1" si="2">IFERROR(H3/ABS(F3), "-")</f>
        <v>-</v>
      </c>
      <c r="J3" s="797"/>
      <c r="K3" s="201">
        <f t="shared" ref="K3:K27" ca="1" si="3">G3-E3</f>
        <v>0</v>
      </c>
      <c r="L3" s="202" t="str">
        <f t="shared" ref="L3:L27" ca="1" si="4">IFERROR(K3/ABS(E3), "-")</f>
        <v>-</v>
      </c>
      <c r="M3" s="800" t="s">
        <v>662</v>
      </c>
    </row>
    <row r="4" spans="1:13" ht="40.5" customHeight="1" x14ac:dyDescent="0.3">
      <c r="A4" s="191">
        <v>51100</v>
      </c>
      <c r="B4" s="203" t="s">
        <v>546</v>
      </c>
      <c r="C4" s="204">
        <v>0</v>
      </c>
      <c r="D4" s="204">
        <v>0</v>
      </c>
      <c r="E4" s="204">
        <v>0</v>
      </c>
      <c r="F4" s="204">
        <v>0</v>
      </c>
      <c r="G4" s="493">
        <f ca="1">SUM(OFFSET(G7,-1,0):OFFSET(G4,1,0))</f>
        <v>0</v>
      </c>
      <c r="H4" s="205">
        <f t="shared" ca="1" si="1"/>
        <v>0</v>
      </c>
      <c r="I4" s="206" t="str">
        <f t="shared" ca="1" si="2"/>
        <v>-</v>
      </c>
      <c r="J4" s="798"/>
      <c r="K4" s="205">
        <f t="shared" ca="1" si="3"/>
        <v>0</v>
      </c>
      <c r="L4" s="206" t="str">
        <f t="shared" ca="1" si="4"/>
        <v>-</v>
      </c>
      <c r="M4" s="789"/>
    </row>
    <row r="5" spans="1:13" s="212" customFormat="1" ht="18.75" hidden="1" customHeight="1" x14ac:dyDescent="0.3">
      <c r="A5" s="207"/>
      <c r="B5" s="208"/>
      <c r="C5" s="209"/>
      <c r="D5" s="209"/>
      <c r="E5" s="209"/>
      <c r="F5" s="209"/>
      <c r="G5" s="494"/>
      <c r="H5" s="210">
        <f t="shared" si="1"/>
        <v>0</v>
      </c>
      <c r="I5" s="211" t="str">
        <f t="shared" si="2"/>
        <v>-</v>
      </c>
      <c r="J5" s="798"/>
      <c r="K5" s="210">
        <f t="shared" si="3"/>
        <v>0</v>
      </c>
      <c r="L5" s="211" t="str">
        <f t="shared" si="4"/>
        <v>-</v>
      </c>
      <c r="M5" s="789"/>
    </row>
    <row r="6" spans="1:13" s="212" customFormat="1" x14ac:dyDescent="0.3">
      <c r="A6" s="207"/>
      <c r="B6" s="208"/>
      <c r="C6" s="209"/>
      <c r="D6" s="209"/>
      <c r="E6" s="209"/>
      <c r="F6" s="209"/>
      <c r="G6" s="494"/>
      <c r="H6" s="210">
        <f t="shared" si="1"/>
        <v>0</v>
      </c>
      <c r="I6" s="211" t="str">
        <f t="shared" si="2"/>
        <v>-</v>
      </c>
      <c r="J6" s="798"/>
      <c r="K6" s="210">
        <f t="shared" si="3"/>
        <v>0</v>
      </c>
      <c r="L6" s="211" t="str">
        <f t="shared" si="4"/>
        <v>-</v>
      </c>
      <c r="M6" s="789"/>
    </row>
    <row r="7" spans="1:13" ht="22.5" x14ac:dyDescent="0.3">
      <c r="A7" s="213">
        <v>51200</v>
      </c>
      <c r="B7" s="214" t="s">
        <v>547</v>
      </c>
      <c r="C7" s="204">
        <v>0</v>
      </c>
      <c r="D7" s="204">
        <v>0</v>
      </c>
      <c r="E7" s="204">
        <v>0</v>
      </c>
      <c r="F7" s="204">
        <v>0</v>
      </c>
      <c r="G7" s="493">
        <f ca="1">SUM(OFFSET(G10,-1,0):OFFSET(G7,1,0))</f>
        <v>0</v>
      </c>
      <c r="H7" s="205">
        <f t="shared" ca="1" si="1"/>
        <v>0</v>
      </c>
      <c r="I7" s="206" t="str">
        <f t="shared" ca="1" si="2"/>
        <v>-</v>
      </c>
      <c r="J7" s="798"/>
      <c r="K7" s="205">
        <f t="shared" ca="1" si="3"/>
        <v>0</v>
      </c>
      <c r="L7" s="206" t="str">
        <f t="shared" ca="1" si="4"/>
        <v>-</v>
      </c>
      <c r="M7" s="789"/>
    </row>
    <row r="8" spans="1:13" s="212" customFormat="1" ht="18.75" hidden="1" customHeight="1" x14ac:dyDescent="0.3">
      <c r="A8" s="117"/>
      <c r="B8" s="118"/>
      <c r="C8" s="209"/>
      <c r="D8" s="209"/>
      <c r="E8" s="209"/>
      <c r="F8" s="209"/>
      <c r="G8" s="494"/>
      <c r="H8" s="210">
        <f t="shared" si="1"/>
        <v>0</v>
      </c>
      <c r="I8" s="211" t="str">
        <f t="shared" si="2"/>
        <v>-</v>
      </c>
      <c r="J8" s="798"/>
      <c r="K8" s="210">
        <f t="shared" si="3"/>
        <v>0</v>
      </c>
      <c r="L8" s="211" t="str">
        <f t="shared" si="4"/>
        <v>-</v>
      </c>
      <c r="M8" s="789"/>
    </row>
    <row r="9" spans="1:13" s="212" customFormat="1" x14ac:dyDescent="0.3">
      <c r="A9" s="117"/>
      <c r="B9" s="118"/>
      <c r="C9" s="209"/>
      <c r="D9" s="209"/>
      <c r="E9" s="209"/>
      <c r="F9" s="209"/>
      <c r="G9" s="494"/>
      <c r="H9" s="210">
        <f t="shared" si="1"/>
        <v>0</v>
      </c>
      <c r="I9" s="211" t="str">
        <f t="shared" si="2"/>
        <v>-</v>
      </c>
      <c r="J9" s="798"/>
      <c r="K9" s="210">
        <f t="shared" si="3"/>
        <v>0</v>
      </c>
      <c r="L9" s="211" t="str">
        <f t="shared" si="4"/>
        <v>-</v>
      </c>
      <c r="M9" s="789"/>
    </row>
    <row r="10" spans="1:13" ht="56.25" x14ac:dyDescent="0.3">
      <c r="A10" s="213">
        <v>51300</v>
      </c>
      <c r="B10" s="214" t="s">
        <v>299</v>
      </c>
      <c r="C10" s="204">
        <v>0</v>
      </c>
      <c r="D10" s="204">
        <v>0</v>
      </c>
      <c r="E10" s="204">
        <v>0</v>
      </c>
      <c r="F10" s="204">
        <v>0</v>
      </c>
      <c r="G10" s="493">
        <f ca="1">SUM(OFFSET(G13,-1,0):OFFSET(G10,1,0))</f>
        <v>0</v>
      </c>
      <c r="H10" s="205">
        <f t="shared" ca="1" si="1"/>
        <v>0</v>
      </c>
      <c r="I10" s="206" t="str">
        <f t="shared" ca="1" si="2"/>
        <v>-</v>
      </c>
      <c r="J10" s="798"/>
      <c r="K10" s="205">
        <f t="shared" ca="1" si="3"/>
        <v>0</v>
      </c>
      <c r="L10" s="206" t="str">
        <f t="shared" ca="1" si="4"/>
        <v>-</v>
      </c>
      <c r="M10" s="789"/>
    </row>
    <row r="11" spans="1:13" s="212" customFormat="1" ht="18.75" hidden="1" customHeight="1" x14ac:dyDescent="0.3">
      <c r="A11" s="117"/>
      <c r="B11" s="118"/>
      <c r="C11" s="209"/>
      <c r="D11" s="209"/>
      <c r="E11" s="209"/>
      <c r="F11" s="209"/>
      <c r="G11" s="494"/>
      <c r="H11" s="210">
        <f t="shared" si="1"/>
        <v>0</v>
      </c>
      <c r="I11" s="211" t="str">
        <f t="shared" si="2"/>
        <v>-</v>
      </c>
      <c r="J11" s="798"/>
      <c r="K11" s="210">
        <f t="shared" si="3"/>
        <v>0</v>
      </c>
      <c r="L11" s="211" t="str">
        <f t="shared" si="4"/>
        <v>-</v>
      </c>
      <c r="M11" s="789"/>
    </row>
    <row r="12" spans="1:13" s="212" customFormat="1" x14ac:dyDescent="0.3">
      <c r="A12" s="117"/>
      <c r="B12" s="118"/>
      <c r="C12" s="209"/>
      <c r="D12" s="209"/>
      <c r="E12" s="209"/>
      <c r="F12" s="209"/>
      <c r="G12" s="494"/>
      <c r="H12" s="210">
        <f t="shared" si="1"/>
        <v>0</v>
      </c>
      <c r="I12" s="211" t="str">
        <f t="shared" si="2"/>
        <v>-</v>
      </c>
      <c r="J12" s="798"/>
      <c r="K12" s="210">
        <f t="shared" si="3"/>
        <v>0</v>
      </c>
      <c r="L12" s="211" t="str">
        <f t="shared" si="4"/>
        <v>-</v>
      </c>
      <c r="M12" s="789"/>
    </row>
    <row r="13" spans="1:13" ht="22.5" x14ac:dyDescent="0.3">
      <c r="A13" s="213">
        <v>51400</v>
      </c>
      <c r="B13" s="214" t="s">
        <v>548</v>
      </c>
      <c r="C13" s="204">
        <v>0</v>
      </c>
      <c r="D13" s="204">
        <v>0</v>
      </c>
      <c r="E13" s="204">
        <v>0</v>
      </c>
      <c r="F13" s="204">
        <v>0</v>
      </c>
      <c r="G13" s="493">
        <f ca="1">SUM(OFFSET(G16,-1,0):OFFSET(G13,1,0))</f>
        <v>0</v>
      </c>
      <c r="H13" s="205">
        <f t="shared" ca="1" si="1"/>
        <v>0</v>
      </c>
      <c r="I13" s="206" t="str">
        <f t="shared" ca="1" si="2"/>
        <v>-</v>
      </c>
      <c r="J13" s="798"/>
      <c r="K13" s="205">
        <f t="shared" ca="1" si="3"/>
        <v>0</v>
      </c>
      <c r="L13" s="206" t="str">
        <f t="shared" ca="1" si="4"/>
        <v>-</v>
      </c>
      <c r="M13" s="789"/>
    </row>
    <row r="14" spans="1:13" s="212" customFormat="1" ht="18.75" hidden="1" customHeight="1" x14ac:dyDescent="0.3">
      <c r="A14" s="117"/>
      <c r="B14" s="118"/>
      <c r="C14" s="209"/>
      <c r="D14" s="209"/>
      <c r="E14" s="209"/>
      <c r="F14" s="209"/>
      <c r="G14" s="494"/>
      <c r="H14" s="210">
        <f t="shared" si="1"/>
        <v>0</v>
      </c>
      <c r="I14" s="211" t="str">
        <f t="shared" si="2"/>
        <v>-</v>
      </c>
      <c r="J14" s="798"/>
      <c r="K14" s="210">
        <f t="shared" si="3"/>
        <v>0</v>
      </c>
      <c r="L14" s="211" t="str">
        <f t="shared" si="4"/>
        <v>-</v>
      </c>
      <c r="M14" s="789"/>
    </row>
    <row r="15" spans="1:13" s="212" customFormat="1" x14ac:dyDescent="0.3">
      <c r="A15" s="117"/>
      <c r="B15" s="118"/>
      <c r="C15" s="209"/>
      <c r="D15" s="209"/>
      <c r="E15" s="209"/>
      <c r="F15" s="209"/>
      <c r="G15" s="494"/>
      <c r="H15" s="210">
        <f t="shared" si="1"/>
        <v>0</v>
      </c>
      <c r="I15" s="211" t="str">
        <f t="shared" si="2"/>
        <v>-</v>
      </c>
      <c r="J15" s="799"/>
      <c r="K15" s="210">
        <f t="shared" si="3"/>
        <v>0</v>
      </c>
      <c r="L15" s="211" t="str">
        <f t="shared" si="4"/>
        <v>-</v>
      </c>
      <c r="M15" s="790"/>
    </row>
    <row r="16" spans="1:13" ht="19.5" x14ac:dyDescent="0.3">
      <c r="A16" s="198">
        <v>52000</v>
      </c>
      <c r="B16" s="199" t="s">
        <v>294</v>
      </c>
      <c r="C16" s="200">
        <v>0</v>
      </c>
      <c r="D16" s="200">
        <v>0</v>
      </c>
      <c r="E16" s="200">
        <v>0</v>
      </c>
      <c r="F16" s="200">
        <v>0</v>
      </c>
      <c r="G16" s="492">
        <f ca="1">SUM(OFFSET(G24,-1,0):OFFSET(G16,1,0))</f>
        <v>1034402</v>
      </c>
      <c r="H16" s="201">
        <f t="shared" ca="1" si="1"/>
        <v>1034402</v>
      </c>
      <c r="I16" s="202" t="str">
        <f t="shared" ca="1" si="2"/>
        <v>-</v>
      </c>
      <c r="J16" s="797"/>
      <c r="K16" s="201">
        <f t="shared" ca="1" si="3"/>
        <v>1034402</v>
      </c>
      <c r="L16" s="202" t="str">
        <f t="shared" ca="1" si="4"/>
        <v>-</v>
      </c>
      <c r="M16" s="800" t="s">
        <v>816</v>
      </c>
    </row>
    <row r="17" spans="1:13" ht="22.5" x14ac:dyDescent="0.3">
      <c r="A17" s="215">
        <v>52100</v>
      </c>
      <c r="B17" s="216" t="s">
        <v>549</v>
      </c>
      <c r="C17" s="209"/>
      <c r="D17" s="209"/>
      <c r="E17" s="209"/>
      <c r="F17" s="209"/>
      <c r="G17" s="495"/>
      <c r="H17" s="218">
        <f t="shared" si="1"/>
        <v>0</v>
      </c>
      <c r="I17" s="219" t="str">
        <f t="shared" si="2"/>
        <v>-</v>
      </c>
      <c r="J17" s="798"/>
      <c r="K17" s="218">
        <f t="shared" si="3"/>
        <v>0</v>
      </c>
      <c r="L17" s="219" t="str">
        <f t="shared" si="4"/>
        <v>-</v>
      </c>
      <c r="M17" s="789"/>
    </row>
    <row r="18" spans="1:13" ht="22.5" x14ac:dyDescent="0.3">
      <c r="A18" s="215">
        <v>52200</v>
      </c>
      <c r="B18" s="216" t="s">
        <v>550</v>
      </c>
      <c r="C18" s="209"/>
      <c r="D18" s="209"/>
      <c r="E18" s="209"/>
      <c r="F18" s="209"/>
      <c r="G18" s="495"/>
      <c r="H18" s="218">
        <f t="shared" si="1"/>
        <v>0</v>
      </c>
      <c r="I18" s="219" t="str">
        <f t="shared" si="2"/>
        <v>-</v>
      </c>
      <c r="J18" s="798"/>
      <c r="K18" s="218">
        <f t="shared" si="3"/>
        <v>0</v>
      </c>
      <c r="L18" s="219" t="str">
        <f t="shared" si="4"/>
        <v>-</v>
      </c>
      <c r="M18" s="789"/>
    </row>
    <row r="19" spans="1:13" ht="22.5" x14ac:dyDescent="0.3">
      <c r="A19" s="215">
        <v>52300</v>
      </c>
      <c r="B19" s="216" t="s">
        <v>551</v>
      </c>
      <c r="C19" s="209"/>
      <c r="D19" s="209"/>
      <c r="E19" s="209"/>
      <c r="F19" s="209"/>
      <c r="G19" s="495"/>
      <c r="H19" s="218">
        <f t="shared" si="1"/>
        <v>0</v>
      </c>
      <c r="I19" s="219" t="str">
        <f t="shared" si="2"/>
        <v>-</v>
      </c>
      <c r="J19" s="798"/>
      <c r="K19" s="218">
        <f t="shared" si="3"/>
        <v>0</v>
      </c>
      <c r="L19" s="219" t="str">
        <f t="shared" si="4"/>
        <v>-</v>
      </c>
      <c r="M19" s="789"/>
    </row>
    <row r="20" spans="1:13" ht="22.5" x14ac:dyDescent="0.3">
      <c r="A20" s="215">
        <v>52400</v>
      </c>
      <c r="B20" s="216" t="s">
        <v>552</v>
      </c>
      <c r="C20" s="209"/>
      <c r="D20" s="209"/>
      <c r="E20" s="209"/>
      <c r="F20" s="209"/>
      <c r="G20" s="495"/>
      <c r="H20" s="218">
        <f t="shared" si="1"/>
        <v>0</v>
      </c>
      <c r="I20" s="219" t="str">
        <f t="shared" si="2"/>
        <v>-</v>
      </c>
      <c r="J20" s="798"/>
      <c r="K20" s="218">
        <f t="shared" si="3"/>
        <v>0</v>
      </c>
      <c r="L20" s="219" t="str">
        <f t="shared" si="4"/>
        <v>-</v>
      </c>
      <c r="M20" s="789"/>
    </row>
    <row r="21" spans="1:13" ht="22.5" x14ac:dyDescent="0.3">
      <c r="A21" s="215">
        <v>52500</v>
      </c>
      <c r="B21" s="216" t="s">
        <v>553</v>
      </c>
      <c r="C21" s="209"/>
      <c r="D21" s="209"/>
      <c r="E21" s="209"/>
      <c r="F21" s="209"/>
      <c r="G21" s="495"/>
      <c r="H21" s="218">
        <f t="shared" si="1"/>
        <v>0</v>
      </c>
      <c r="I21" s="219" t="str">
        <f t="shared" si="2"/>
        <v>-</v>
      </c>
      <c r="J21" s="798"/>
      <c r="K21" s="218">
        <f t="shared" si="3"/>
        <v>0</v>
      </c>
      <c r="L21" s="219" t="str">
        <f t="shared" si="4"/>
        <v>-</v>
      </c>
      <c r="M21" s="789"/>
    </row>
    <row r="22" spans="1:13" x14ac:dyDescent="0.3">
      <c r="A22" s="215">
        <v>52600</v>
      </c>
      <c r="B22" s="216" t="s">
        <v>292</v>
      </c>
      <c r="C22" s="209"/>
      <c r="D22" s="209"/>
      <c r="E22" s="209"/>
      <c r="F22" s="209"/>
      <c r="G22" s="495"/>
      <c r="H22" s="218">
        <f t="shared" si="1"/>
        <v>0</v>
      </c>
      <c r="I22" s="219" t="str">
        <f t="shared" si="2"/>
        <v>-</v>
      </c>
      <c r="J22" s="798"/>
      <c r="K22" s="218">
        <f t="shared" si="3"/>
        <v>0</v>
      </c>
      <c r="L22" s="219" t="str">
        <f t="shared" si="4"/>
        <v>-</v>
      </c>
      <c r="M22" s="789"/>
    </row>
    <row r="23" spans="1:13" ht="22.5" x14ac:dyDescent="0.3">
      <c r="A23" s="220">
        <v>52700</v>
      </c>
      <c r="B23" s="221" t="s">
        <v>554</v>
      </c>
      <c r="C23" s="209"/>
      <c r="D23" s="209"/>
      <c r="E23" s="209"/>
      <c r="F23" s="209"/>
      <c r="G23" s="495">
        <v>1034402</v>
      </c>
      <c r="H23" s="218">
        <f t="shared" si="1"/>
        <v>1034402</v>
      </c>
      <c r="I23" s="219" t="str">
        <f t="shared" si="2"/>
        <v>-</v>
      </c>
      <c r="J23" s="799"/>
      <c r="K23" s="218">
        <f t="shared" si="3"/>
        <v>1034402</v>
      </c>
      <c r="L23" s="219" t="str">
        <f t="shared" si="4"/>
        <v>-</v>
      </c>
      <c r="M23" s="790"/>
    </row>
    <row r="24" spans="1:13" ht="19.5" x14ac:dyDescent="0.3">
      <c r="A24" s="198">
        <v>53000</v>
      </c>
      <c r="B24" s="199" t="s">
        <v>295</v>
      </c>
      <c r="C24" s="200">
        <v>699038</v>
      </c>
      <c r="D24" s="200">
        <v>788930.5</v>
      </c>
      <c r="E24" s="200">
        <v>699038</v>
      </c>
      <c r="F24" s="200">
        <v>788930.5</v>
      </c>
      <c r="G24" s="492">
        <f ca="1">G25+G75+G79+G94+G102+G106</f>
        <v>750339</v>
      </c>
      <c r="H24" s="201">
        <f t="shared" ca="1" si="1"/>
        <v>-38591.5</v>
      </c>
      <c r="I24" s="202">
        <f t="shared" ca="1" si="2"/>
        <v>-4.8916222658396395E-2</v>
      </c>
      <c r="J24" s="797"/>
      <c r="K24" s="201">
        <f t="shared" ca="1" si="3"/>
        <v>51301</v>
      </c>
      <c r="L24" s="202">
        <f t="shared" ca="1" si="4"/>
        <v>7.3387998935680182E-2</v>
      </c>
      <c r="M24" s="805" t="s">
        <v>817</v>
      </c>
    </row>
    <row r="25" spans="1:13" ht="41.25" x14ac:dyDescent="0.3">
      <c r="A25" s="233">
        <v>53100</v>
      </c>
      <c r="B25" s="234" t="s">
        <v>555</v>
      </c>
      <c r="C25" s="235">
        <v>522939</v>
      </c>
      <c r="D25" s="235">
        <v>788930.5</v>
      </c>
      <c r="E25" s="235">
        <v>522939</v>
      </c>
      <c r="F25" s="235">
        <v>788930.5</v>
      </c>
      <c r="G25" s="496">
        <f ca="1">G26+G70</f>
        <v>682771</v>
      </c>
      <c r="H25" s="222">
        <f t="shared" ca="1" si="1"/>
        <v>-106159.5</v>
      </c>
      <c r="I25" s="223">
        <f t="shared" ca="1" si="2"/>
        <v>-0.13456128264783779</v>
      </c>
      <c r="J25" s="798"/>
      <c r="K25" s="222">
        <f t="shared" ca="1" si="3"/>
        <v>159832</v>
      </c>
      <c r="L25" s="223">
        <f t="shared" ca="1" si="4"/>
        <v>0.30564176701297857</v>
      </c>
      <c r="M25" s="806"/>
    </row>
    <row r="26" spans="1:13" x14ac:dyDescent="0.3">
      <c r="A26" s="233">
        <v>53110</v>
      </c>
      <c r="B26" s="236" t="s">
        <v>297</v>
      </c>
      <c r="C26" s="235">
        <v>514939</v>
      </c>
      <c r="D26" s="235">
        <v>728878.5</v>
      </c>
      <c r="E26" s="235">
        <v>514939</v>
      </c>
      <c r="F26" s="235">
        <v>728878.5</v>
      </c>
      <c r="G26" s="496">
        <f ca="1">SUM(OFFSET(G70,-1,0):OFFSET(G26,1,0))</f>
        <v>659418</v>
      </c>
      <c r="H26" s="222">
        <f t="shared" ca="1" si="1"/>
        <v>-69460.5</v>
      </c>
      <c r="I26" s="223">
        <f t="shared" ca="1" si="2"/>
        <v>-9.5297775966776355E-2</v>
      </c>
      <c r="J26" s="798"/>
      <c r="K26" s="222">
        <f t="shared" ca="1" si="3"/>
        <v>144479</v>
      </c>
      <c r="L26" s="223">
        <f t="shared" ca="1" si="4"/>
        <v>0.28057498072587239</v>
      </c>
      <c r="M26" s="806"/>
    </row>
    <row r="27" spans="1:13" s="212" customFormat="1" ht="18.75" hidden="1" customHeight="1" x14ac:dyDescent="0.3">
      <c r="A27" s="119"/>
      <c r="B27" s="120"/>
      <c r="C27" s="209"/>
      <c r="D27" s="209"/>
      <c r="E27" s="209"/>
      <c r="F27" s="209"/>
      <c r="G27" s="497"/>
      <c r="H27" s="218">
        <f t="shared" si="1"/>
        <v>0</v>
      </c>
      <c r="I27" s="219" t="str">
        <f t="shared" si="2"/>
        <v>-</v>
      </c>
      <c r="J27" s="798"/>
      <c r="K27" s="218">
        <f t="shared" si="3"/>
        <v>0</v>
      </c>
      <c r="L27" s="219" t="str">
        <f t="shared" si="4"/>
        <v>-</v>
      </c>
      <c r="M27" s="806"/>
    </row>
    <row r="28" spans="1:13" s="212" customFormat="1" x14ac:dyDescent="0.3">
      <c r="A28" s="119"/>
      <c r="B28" s="224" t="s">
        <v>663</v>
      </c>
      <c r="C28" s="209">
        <v>514939</v>
      </c>
      <c r="D28" s="209"/>
      <c r="E28" s="209">
        <v>514939</v>
      </c>
      <c r="F28" s="209"/>
      <c r="G28" s="497"/>
      <c r="H28" s="218"/>
      <c r="I28" s="219"/>
      <c r="J28" s="798"/>
      <c r="K28" s="218"/>
      <c r="L28" s="219"/>
      <c r="M28" s="806"/>
    </row>
    <row r="29" spans="1:13" s="212" customFormat="1" x14ac:dyDescent="0.3">
      <c r="A29" s="119"/>
      <c r="B29" s="364" t="s">
        <v>664</v>
      </c>
      <c r="C29" s="209"/>
      <c r="D29" s="209">
        <v>27830</v>
      </c>
      <c r="E29" s="209"/>
      <c r="F29" s="209">
        <v>27830</v>
      </c>
      <c r="G29" s="497">
        <v>27830</v>
      </c>
      <c r="H29" s="218"/>
      <c r="I29" s="219"/>
      <c r="J29" s="798"/>
      <c r="K29" s="218"/>
      <c r="L29" s="219"/>
      <c r="M29" s="806"/>
    </row>
    <row r="30" spans="1:13" s="212" customFormat="1" ht="56.25" x14ac:dyDescent="0.3">
      <c r="A30" s="119"/>
      <c r="B30" s="364" t="s">
        <v>665</v>
      </c>
      <c r="C30" s="209"/>
      <c r="D30" s="209">
        <v>75600</v>
      </c>
      <c r="E30" s="209"/>
      <c r="F30" s="209">
        <v>75600</v>
      </c>
      <c r="G30" s="497">
        <v>49070</v>
      </c>
      <c r="H30" s="218"/>
      <c r="I30" s="219"/>
      <c r="J30" s="798"/>
      <c r="K30" s="218"/>
      <c r="L30" s="219"/>
      <c r="M30" s="806"/>
    </row>
    <row r="31" spans="1:13" s="212" customFormat="1" x14ac:dyDescent="0.3">
      <c r="A31" s="119"/>
      <c r="B31" s="364" t="s">
        <v>666</v>
      </c>
      <c r="C31" s="209"/>
      <c r="D31" s="209">
        <v>6720</v>
      </c>
      <c r="E31" s="209"/>
      <c r="F31" s="209">
        <v>6720</v>
      </c>
      <c r="G31" s="498">
        <v>1452</v>
      </c>
      <c r="H31" s="218"/>
      <c r="I31" s="219"/>
      <c r="J31" s="798"/>
      <c r="K31" s="218"/>
      <c r="L31" s="219"/>
      <c r="M31" s="806"/>
    </row>
    <row r="32" spans="1:13" s="212" customFormat="1" ht="37.5" x14ac:dyDescent="0.3">
      <c r="A32" s="119"/>
      <c r="B32" s="364" t="s">
        <v>667</v>
      </c>
      <c r="C32" s="209"/>
      <c r="D32" s="209">
        <v>7865</v>
      </c>
      <c r="E32" s="209"/>
      <c r="F32" s="209">
        <v>7865</v>
      </c>
      <c r="G32" s="497">
        <v>6790</v>
      </c>
      <c r="H32" s="218"/>
      <c r="I32" s="219"/>
      <c r="J32" s="798"/>
      <c r="K32" s="218"/>
      <c r="L32" s="219"/>
      <c r="M32" s="806"/>
    </row>
    <row r="33" spans="1:13" s="212" customFormat="1" x14ac:dyDescent="0.3">
      <c r="A33" s="119"/>
      <c r="B33" s="364" t="s">
        <v>668</v>
      </c>
      <c r="C33" s="209"/>
      <c r="D33" s="209">
        <v>9982.5</v>
      </c>
      <c r="E33" s="209"/>
      <c r="F33" s="209">
        <v>9982.5</v>
      </c>
      <c r="G33" s="497"/>
      <c r="H33" s="218"/>
      <c r="I33" s="219"/>
      <c r="J33" s="798"/>
      <c r="K33" s="218"/>
      <c r="L33" s="219"/>
      <c r="M33" s="806"/>
    </row>
    <row r="34" spans="1:13" s="212" customFormat="1" ht="37.5" x14ac:dyDescent="0.3">
      <c r="A34" s="119"/>
      <c r="B34" s="364" t="s">
        <v>669</v>
      </c>
      <c r="C34" s="209"/>
      <c r="D34" s="209">
        <v>6050</v>
      </c>
      <c r="E34" s="209"/>
      <c r="F34" s="209">
        <v>6050</v>
      </c>
      <c r="G34" s="497">
        <v>5990</v>
      </c>
      <c r="H34" s="218"/>
      <c r="I34" s="219"/>
      <c r="J34" s="798"/>
      <c r="K34" s="218"/>
      <c r="L34" s="219"/>
      <c r="M34" s="806"/>
    </row>
    <row r="35" spans="1:13" s="212" customFormat="1" x14ac:dyDescent="0.3">
      <c r="A35" s="119"/>
      <c r="B35" s="364" t="s">
        <v>670</v>
      </c>
      <c r="C35" s="209"/>
      <c r="D35" s="209">
        <v>22385</v>
      </c>
      <c r="E35" s="209"/>
      <c r="F35" s="209">
        <v>22385</v>
      </c>
      <c r="G35" s="497"/>
      <c r="H35" s="218"/>
      <c r="I35" s="219"/>
      <c r="J35" s="798"/>
      <c r="K35" s="218"/>
      <c r="L35" s="219"/>
      <c r="M35" s="806"/>
    </row>
    <row r="36" spans="1:13" s="212" customFormat="1" ht="37.5" x14ac:dyDescent="0.3">
      <c r="A36" s="119"/>
      <c r="B36" s="364" t="s">
        <v>671</v>
      </c>
      <c r="C36" s="209"/>
      <c r="D36" s="209">
        <v>7865</v>
      </c>
      <c r="E36" s="209"/>
      <c r="F36" s="209">
        <v>7865</v>
      </c>
      <c r="G36" s="497">
        <v>15415</v>
      </c>
      <c r="H36" s="218"/>
      <c r="I36" s="219"/>
      <c r="J36" s="798"/>
      <c r="K36" s="218"/>
      <c r="L36" s="219"/>
      <c r="M36" s="806"/>
    </row>
    <row r="37" spans="1:13" s="212" customFormat="1" ht="75" x14ac:dyDescent="0.3">
      <c r="A37" s="119"/>
      <c r="B37" s="364" t="s">
        <v>672</v>
      </c>
      <c r="C37" s="209"/>
      <c r="D37" s="209">
        <v>60500</v>
      </c>
      <c r="E37" s="209"/>
      <c r="F37" s="209">
        <v>60500</v>
      </c>
      <c r="G37" s="497">
        <v>2094</v>
      </c>
      <c r="H37" s="218"/>
      <c r="I37" s="219"/>
      <c r="J37" s="798"/>
      <c r="K37" s="218"/>
      <c r="L37" s="219"/>
      <c r="M37" s="806"/>
    </row>
    <row r="38" spans="1:13" s="212" customFormat="1" x14ac:dyDescent="0.3">
      <c r="A38" s="119"/>
      <c r="B38" s="364" t="s">
        <v>673</v>
      </c>
      <c r="C38" s="209"/>
      <c r="D38" s="209">
        <v>9680</v>
      </c>
      <c r="E38" s="209"/>
      <c r="F38" s="209">
        <v>9680</v>
      </c>
      <c r="G38" s="497">
        <v>6867</v>
      </c>
      <c r="H38" s="218"/>
      <c r="I38" s="219"/>
      <c r="J38" s="798"/>
      <c r="K38" s="218"/>
      <c r="L38" s="219"/>
      <c r="M38" s="806"/>
    </row>
    <row r="39" spans="1:13" s="212" customFormat="1" ht="37.5" x14ac:dyDescent="0.3">
      <c r="A39" s="119"/>
      <c r="B39" s="364" t="s">
        <v>674</v>
      </c>
      <c r="C39" s="209"/>
      <c r="D39" s="209">
        <v>48400</v>
      </c>
      <c r="E39" s="209"/>
      <c r="F39" s="209">
        <v>48400</v>
      </c>
      <c r="G39" s="497">
        <v>13738</v>
      </c>
      <c r="H39" s="218"/>
      <c r="I39" s="219"/>
      <c r="J39" s="798"/>
      <c r="K39" s="218"/>
      <c r="L39" s="219"/>
      <c r="M39" s="806"/>
    </row>
    <row r="40" spans="1:13" s="212" customFormat="1" x14ac:dyDescent="0.3">
      <c r="A40" s="119"/>
      <c r="B40" s="224" t="s">
        <v>675</v>
      </c>
      <c r="C40" s="209"/>
      <c r="D40" s="209">
        <v>58080</v>
      </c>
      <c r="E40" s="209"/>
      <c r="F40" s="209">
        <v>58080</v>
      </c>
      <c r="G40" s="497">
        <v>49467</v>
      </c>
      <c r="H40" s="218"/>
      <c r="I40" s="219"/>
      <c r="J40" s="798"/>
      <c r="K40" s="218"/>
      <c r="L40" s="219"/>
      <c r="M40" s="806"/>
    </row>
    <row r="41" spans="1:13" s="212" customFormat="1" ht="18" customHeight="1" x14ac:dyDescent="0.3">
      <c r="A41" s="119"/>
      <c r="B41" s="224" t="s">
        <v>676</v>
      </c>
      <c r="C41" s="209"/>
      <c r="D41" s="209">
        <v>19360</v>
      </c>
      <c r="E41" s="209"/>
      <c r="F41" s="209">
        <v>19360</v>
      </c>
      <c r="G41" s="497">
        <v>19360</v>
      </c>
      <c r="H41" s="218"/>
      <c r="I41" s="219"/>
      <c r="J41" s="798"/>
      <c r="K41" s="218"/>
      <c r="L41" s="219"/>
      <c r="M41" s="806"/>
    </row>
    <row r="42" spans="1:13" s="212" customFormat="1" ht="36.75" customHeight="1" x14ac:dyDescent="0.3">
      <c r="A42" s="119"/>
      <c r="B42" s="224" t="s">
        <v>677</v>
      </c>
      <c r="C42" s="209"/>
      <c r="D42" s="209">
        <v>6050</v>
      </c>
      <c r="E42" s="209"/>
      <c r="F42" s="209">
        <v>6050</v>
      </c>
      <c r="G42" s="497">
        <v>6050</v>
      </c>
      <c r="H42" s="218"/>
      <c r="I42" s="219"/>
      <c r="J42" s="798"/>
      <c r="K42" s="218"/>
      <c r="L42" s="219"/>
      <c r="M42" s="806"/>
    </row>
    <row r="43" spans="1:13" s="212" customFormat="1" ht="75" x14ac:dyDescent="0.3">
      <c r="A43" s="119"/>
      <c r="B43" s="224" t="s">
        <v>678</v>
      </c>
      <c r="C43" s="209"/>
      <c r="D43" s="209">
        <v>11979</v>
      </c>
      <c r="E43" s="209"/>
      <c r="F43" s="209">
        <v>11979</v>
      </c>
      <c r="G43" s="497">
        <v>12219</v>
      </c>
      <c r="H43" s="218"/>
      <c r="I43" s="219"/>
      <c r="J43" s="798"/>
      <c r="K43" s="218"/>
      <c r="L43" s="219"/>
      <c r="M43" s="806"/>
    </row>
    <row r="44" spans="1:13" s="212" customFormat="1" ht="37.5" x14ac:dyDescent="0.3">
      <c r="A44" s="119"/>
      <c r="B44" s="499" t="s">
        <v>818</v>
      </c>
      <c r="C44" s="209"/>
      <c r="D44" s="209">
        <v>42350</v>
      </c>
      <c r="E44" s="209"/>
      <c r="F44" s="209">
        <v>42350</v>
      </c>
      <c r="G44" s="498">
        <v>16880</v>
      </c>
      <c r="H44" s="218"/>
      <c r="I44" s="219"/>
      <c r="J44" s="798"/>
      <c r="K44" s="218"/>
      <c r="L44" s="219"/>
      <c r="M44" s="806"/>
    </row>
    <row r="45" spans="1:13" s="212" customFormat="1" ht="37.5" x14ac:dyDescent="0.3">
      <c r="A45" s="119"/>
      <c r="B45" s="224" t="s">
        <v>819</v>
      </c>
      <c r="C45" s="209"/>
      <c r="D45" s="209">
        <v>6050</v>
      </c>
      <c r="E45" s="209"/>
      <c r="F45" s="209">
        <v>6050</v>
      </c>
      <c r="G45" s="500">
        <v>4858</v>
      </c>
      <c r="H45" s="218"/>
      <c r="I45" s="219"/>
      <c r="J45" s="798"/>
      <c r="K45" s="218"/>
      <c r="L45" s="219"/>
      <c r="M45" s="806"/>
    </row>
    <row r="46" spans="1:13" s="212" customFormat="1" ht="37.5" x14ac:dyDescent="0.3">
      <c r="A46" s="119"/>
      <c r="B46" s="364" t="s">
        <v>679</v>
      </c>
      <c r="C46" s="209"/>
      <c r="D46" s="209">
        <v>65340</v>
      </c>
      <c r="E46" s="209"/>
      <c r="F46" s="209">
        <v>65340</v>
      </c>
      <c r="G46" s="497"/>
      <c r="H46" s="218"/>
      <c r="I46" s="219"/>
      <c r="J46" s="798"/>
      <c r="K46" s="218"/>
      <c r="L46" s="219"/>
      <c r="M46" s="806"/>
    </row>
    <row r="47" spans="1:13" s="212" customFormat="1" ht="37.5" x14ac:dyDescent="0.3">
      <c r="A47" s="119"/>
      <c r="B47" s="364" t="s">
        <v>680</v>
      </c>
      <c r="C47" s="209"/>
      <c r="D47" s="209">
        <v>21780</v>
      </c>
      <c r="E47" s="209"/>
      <c r="F47" s="209">
        <v>21780</v>
      </c>
      <c r="G47" s="498">
        <v>2119</v>
      </c>
      <c r="H47" s="218"/>
      <c r="I47" s="219"/>
      <c r="J47" s="798"/>
      <c r="K47" s="218"/>
      <c r="L47" s="219"/>
      <c r="M47" s="806"/>
    </row>
    <row r="48" spans="1:13" s="212" customFormat="1" x14ac:dyDescent="0.3">
      <c r="A48" s="119"/>
      <c r="B48" s="364" t="s">
        <v>681</v>
      </c>
      <c r="C48" s="209"/>
      <c r="D48" s="209">
        <v>15730</v>
      </c>
      <c r="E48" s="209"/>
      <c r="F48" s="209">
        <v>15730</v>
      </c>
      <c r="G48" s="497"/>
      <c r="H48" s="218"/>
      <c r="I48" s="219"/>
      <c r="J48" s="798"/>
      <c r="K48" s="218"/>
      <c r="L48" s="219"/>
      <c r="M48" s="806"/>
    </row>
    <row r="49" spans="1:13" s="212" customFormat="1" ht="37.5" x14ac:dyDescent="0.3">
      <c r="A49" s="119"/>
      <c r="B49" s="499" t="s">
        <v>820</v>
      </c>
      <c r="C49" s="209"/>
      <c r="D49" s="209">
        <v>10890</v>
      </c>
      <c r="E49" s="209"/>
      <c r="F49" s="209">
        <v>10890</v>
      </c>
      <c r="G49" s="497">
        <v>11105</v>
      </c>
      <c r="H49" s="218"/>
      <c r="I49" s="219"/>
      <c r="J49" s="798"/>
      <c r="K49" s="218"/>
      <c r="L49" s="219"/>
      <c r="M49" s="806"/>
    </row>
    <row r="50" spans="1:13" s="212" customFormat="1" x14ac:dyDescent="0.3">
      <c r="A50" s="119"/>
      <c r="B50" s="224" t="s">
        <v>682</v>
      </c>
      <c r="C50" s="209"/>
      <c r="D50" s="209">
        <v>36300</v>
      </c>
      <c r="E50" s="209"/>
      <c r="F50" s="209">
        <v>36300</v>
      </c>
      <c r="G50" s="497">
        <v>66704</v>
      </c>
      <c r="H50" s="218"/>
      <c r="I50" s="219"/>
      <c r="J50" s="798"/>
      <c r="K50" s="218"/>
      <c r="L50" s="219"/>
      <c r="M50" s="806"/>
    </row>
    <row r="51" spans="1:13" s="212" customFormat="1" ht="37.5" x14ac:dyDescent="0.3">
      <c r="A51" s="119"/>
      <c r="B51" s="224" t="s">
        <v>683</v>
      </c>
      <c r="C51" s="209"/>
      <c r="D51" s="209">
        <v>24200</v>
      </c>
      <c r="E51" s="209"/>
      <c r="F51" s="209">
        <v>24200</v>
      </c>
      <c r="G51" s="497">
        <v>38236</v>
      </c>
      <c r="H51" s="218"/>
      <c r="I51" s="219"/>
      <c r="J51" s="798"/>
      <c r="K51" s="218"/>
      <c r="L51" s="219"/>
      <c r="M51" s="806"/>
    </row>
    <row r="52" spans="1:13" s="212" customFormat="1" ht="18.75" customHeight="1" x14ac:dyDescent="0.3">
      <c r="A52" s="119"/>
      <c r="B52" s="224" t="s">
        <v>821</v>
      </c>
      <c r="C52" s="209"/>
      <c r="D52" s="209">
        <v>36300</v>
      </c>
      <c r="E52" s="209"/>
      <c r="F52" s="209">
        <v>36300</v>
      </c>
      <c r="G52" s="498">
        <v>2783</v>
      </c>
      <c r="H52" s="218"/>
      <c r="I52" s="219"/>
      <c r="J52" s="798"/>
      <c r="K52" s="218"/>
      <c r="L52" s="219"/>
      <c r="M52" s="806"/>
    </row>
    <row r="53" spans="1:13" s="212" customFormat="1" ht="56.25" x14ac:dyDescent="0.3">
      <c r="A53" s="119"/>
      <c r="B53" s="224" t="s">
        <v>684</v>
      </c>
      <c r="C53" s="209"/>
      <c r="D53" s="209">
        <v>36300</v>
      </c>
      <c r="E53" s="209"/>
      <c r="F53" s="209">
        <v>36300</v>
      </c>
      <c r="G53" s="497">
        <v>25735</v>
      </c>
      <c r="H53" s="218"/>
      <c r="I53" s="219"/>
      <c r="J53" s="798"/>
      <c r="K53" s="218"/>
      <c r="L53" s="219"/>
      <c r="M53" s="806"/>
    </row>
    <row r="54" spans="1:13" s="212" customFormat="1" ht="56.25" x14ac:dyDescent="0.3">
      <c r="A54" s="119"/>
      <c r="B54" s="224" t="s">
        <v>685</v>
      </c>
      <c r="C54" s="209"/>
      <c r="D54" s="209">
        <v>16940</v>
      </c>
      <c r="E54" s="209"/>
      <c r="F54" s="209">
        <v>16940</v>
      </c>
      <c r="G54" s="217"/>
      <c r="H54" s="218"/>
      <c r="I54" s="219"/>
      <c r="J54" s="798"/>
      <c r="K54" s="218"/>
      <c r="L54" s="219"/>
      <c r="M54" s="806"/>
    </row>
    <row r="55" spans="1:13" s="212" customFormat="1" ht="37.5" x14ac:dyDescent="0.3">
      <c r="A55" s="119"/>
      <c r="B55" s="364" t="s">
        <v>686</v>
      </c>
      <c r="C55" s="209"/>
      <c r="D55" s="209">
        <v>11979</v>
      </c>
      <c r="E55" s="209"/>
      <c r="F55" s="209">
        <v>11979</v>
      </c>
      <c r="G55" s="217"/>
      <c r="H55" s="218"/>
      <c r="I55" s="219"/>
      <c r="J55" s="798"/>
      <c r="K55" s="218"/>
      <c r="L55" s="219"/>
      <c r="M55" s="806"/>
    </row>
    <row r="56" spans="1:13" s="212" customFormat="1" ht="18.75" customHeight="1" x14ac:dyDescent="0.3">
      <c r="A56" s="119"/>
      <c r="B56" s="224" t="s">
        <v>688</v>
      </c>
      <c r="C56" s="209"/>
      <c r="D56" s="209"/>
      <c r="E56" s="209"/>
      <c r="F56" s="209"/>
      <c r="G56" s="501">
        <v>50578</v>
      </c>
      <c r="H56" s="218"/>
      <c r="I56" s="219"/>
      <c r="J56" s="798"/>
      <c r="K56" s="218"/>
      <c r="L56" s="219"/>
      <c r="M56" s="806"/>
    </row>
    <row r="57" spans="1:13" s="212" customFormat="1" ht="37.5" x14ac:dyDescent="0.3">
      <c r="A57" s="119"/>
      <c r="B57" s="224" t="s">
        <v>689</v>
      </c>
      <c r="C57" s="209"/>
      <c r="D57" s="209"/>
      <c r="E57" s="209"/>
      <c r="F57" s="209"/>
      <c r="G57" s="501">
        <v>31980</v>
      </c>
      <c r="H57" s="218"/>
      <c r="I57" s="219"/>
      <c r="J57" s="798"/>
      <c r="K57" s="218"/>
      <c r="L57" s="219"/>
      <c r="M57" s="806"/>
    </row>
    <row r="58" spans="1:13" s="212" customFormat="1" x14ac:dyDescent="0.3">
      <c r="A58" s="119"/>
      <c r="B58" s="224" t="s">
        <v>690</v>
      </c>
      <c r="C58" s="209"/>
      <c r="D58" s="209"/>
      <c r="E58" s="209"/>
      <c r="F58" s="209"/>
      <c r="G58" s="501">
        <v>1096</v>
      </c>
      <c r="H58" s="218"/>
      <c r="I58" s="219"/>
      <c r="J58" s="798"/>
      <c r="K58" s="218"/>
      <c r="L58" s="219"/>
      <c r="M58" s="806"/>
    </row>
    <row r="59" spans="1:13" s="212" customFormat="1" ht="18.75" customHeight="1" x14ac:dyDescent="0.3">
      <c r="A59" s="119"/>
      <c r="B59" s="224" t="s">
        <v>691</v>
      </c>
      <c r="C59" s="209"/>
      <c r="D59" s="209"/>
      <c r="E59" s="209"/>
      <c r="F59" s="209"/>
      <c r="G59" s="501">
        <v>1413</v>
      </c>
      <c r="H59" s="218"/>
      <c r="I59" s="219"/>
      <c r="J59" s="798"/>
      <c r="K59" s="218"/>
      <c r="L59" s="219"/>
      <c r="M59" s="806"/>
    </row>
    <row r="60" spans="1:13" s="212" customFormat="1" ht="18.75" customHeight="1" x14ac:dyDescent="0.3">
      <c r="A60" s="119"/>
      <c r="B60" s="224" t="s">
        <v>692</v>
      </c>
      <c r="C60" s="209"/>
      <c r="D60" s="209"/>
      <c r="E60" s="209"/>
      <c r="F60" s="209"/>
      <c r="G60" s="501">
        <v>4252</v>
      </c>
      <c r="H60" s="218"/>
      <c r="I60" s="219"/>
      <c r="J60" s="798"/>
      <c r="K60" s="218"/>
      <c r="L60" s="219"/>
      <c r="M60" s="806"/>
    </row>
    <row r="61" spans="1:13" s="212" customFormat="1" ht="18.75" customHeight="1" x14ac:dyDescent="0.3">
      <c r="A61" s="119"/>
      <c r="B61" s="224" t="s">
        <v>693</v>
      </c>
      <c r="C61" s="209"/>
      <c r="D61" s="209"/>
      <c r="E61" s="209"/>
      <c r="F61" s="209"/>
      <c r="G61" s="501">
        <v>8573</v>
      </c>
      <c r="H61" s="218"/>
      <c r="I61" s="219"/>
      <c r="J61" s="798"/>
      <c r="K61" s="218"/>
      <c r="L61" s="219"/>
      <c r="M61" s="806"/>
    </row>
    <row r="62" spans="1:13" s="212" customFormat="1" x14ac:dyDescent="0.3">
      <c r="A62" s="119"/>
      <c r="B62" s="224" t="s">
        <v>773</v>
      </c>
      <c r="C62" s="209"/>
      <c r="D62" s="209"/>
      <c r="E62" s="209"/>
      <c r="F62" s="209"/>
      <c r="G62" s="501">
        <v>10429</v>
      </c>
      <c r="H62" s="218"/>
      <c r="I62" s="219"/>
      <c r="J62" s="798"/>
      <c r="K62" s="218"/>
      <c r="L62" s="219"/>
      <c r="M62" s="806"/>
    </row>
    <row r="63" spans="1:13" s="212" customFormat="1" ht="18.75" customHeight="1" x14ac:dyDescent="0.3">
      <c r="A63" s="119"/>
      <c r="B63" s="502" t="s">
        <v>774</v>
      </c>
      <c r="C63" s="209"/>
      <c r="D63" s="209"/>
      <c r="E63" s="209"/>
      <c r="F63" s="209"/>
      <c r="G63" s="501">
        <v>3415</v>
      </c>
      <c r="H63" s="218"/>
      <c r="I63" s="219"/>
      <c r="J63" s="798"/>
      <c r="K63" s="218"/>
      <c r="L63" s="219"/>
      <c r="M63" s="806"/>
    </row>
    <row r="64" spans="1:13" s="212" customFormat="1" ht="18.75" customHeight="1" x14ac:dyDescent="0.3">
      <c r="A64" s="503"/>
      <c r="B64" s="504" t="s">
        <v>775</v>
      </c>
      <c r="C64" s="209"/>
      <c r="D64" s="209"/>
      <c r="E64" s="209"/>
      <c r="F64" s="209"/>
      <c r="G64" s="501">
        <v>5884</v>
      </c>
      <c r="H64" s="218"/>
      <c r="I64" s="219"/>
      <c r="J64" s="798"/>
      <c r="K64" s="218"/>
      <c r="L64" s="219"/>
      <c r="M64" s="806"/>
    </row>
    <row r="65" spans="1:13" s="212" customFormat="1" ht="37.5" x14ac:dyDescent="0.3">
      <c r="A65" s="503"/>
      <c r="B65" s="504" t="s">
        <v>776</v>
      </c>
      <c r="C65" s="209"/>
      <c r="D65" s="209"/>
      <c r="E65" s="209"/>
      <c r="F65" s="209"/>
      <c r="G65" s="501">
        <v>7127</v>
      </c>
      <c r="H65" s="218"/>
      <c r="I65" s="219"/>
      <c r="J65" s="798"/>
      <c r="K65" s="218"/>
      <c r="L65" s="219"/>
      <c r="M65" s="806"/>
    </row>
    <row r="66" spans="1:13" s="212" customFormat="1" x14ac:dyDescent="0.3">
      <c r="A66" s="503"/>
      <c r="B66" s="505" t="s">
        <v>822</v>
      </c>
      <c r="C66" s="209"/>
      <c r="D66" s="209"/>
      <c r="E66" s="209"/>
      <c r="F66" s="209"/>
      <c r="G66" s="506">
        <v>72405</v>
      </c>
      <c r="H66" s="218"/>
      <c r="I66" s="219"/>
      <c r="J66" s="798"/>
      <c r="K66" s="218"/>
      <c r="L66" s="219"/>
      <c r="M66" s="806"/>
    </row>
    <row r="67" spans="1:13" s="212" customFormat="1" ht="37.5" x14ac:dyDescent="0.3">
      <c r="A67" s="503"/>
      <c r="B67" s="505" t="s">
        <v>823</v>
      </c>
      <c r="C67" s="209"/>
      <c r="D67" s="209"/>
      <c r="E67" s="209"/>
      <c r="F67" s="209"/>
      <c r="G67" s="506">
        <v>14343</v>
      </c>
      <c r="H67" s="218"/>
      <c r="I67" s="219"/>
      <c r="J67" s="798"/>
      <c r="K67" s="218"/>
      <c r="L67" s="219"/>
      <c r="M67" s="806"/>
    </row>
    <row r="68" spans="1:13" s="212" customFormat="1" ht="37.5" x14ac:dyDescent="0.3">
      <c r="A68" s="503"/>
      <c r="B68" s="505" t="s">
        <v>824</v>
      </c>
      <c r="C68" s="209"/>
      <c r="D68" s="209"/>
      <c r="E68" s="209"/>
      <c r="F68" s="209"/>
      <c r="G68" s="506">
        <v>9759</v>
      </c>
      <c r="H68" s="218"/>
      <c r="I68" s="219"/>
      <c r="J68" s="798"/>
      <c r="K68" s="218"/>
      <c r="L68" s="219"/>
      <c r="M68" s="806"/>
    </row>
    <row r="69" spans="1:13" s="212" customFormat="1" ht="37.5" x14ac:dyDescent="0.3">
      <c r="A69" s="503"/>
      <c r="B69" s="507" t="s">
        <v>687</v>
      </c>
      <c r="C69" s="209"/>
      <c r="D69" s="209"/>
      <c r="E69" s="209"/>
      <c r="F69" s="209">
        <v>26373</v>
      </c>
      <c r="G69" s="501">
        <v>53402</v>
      </c>
      <c r="H69" s="218"/>
      <c r="I69" s="219"/>
      <c r="J69" s="798"/>
      <c r="K69" s="218"/>
      <c r="L69" s="219"/>
      <c r="M69" s="806"/>
    </row>
    <row r="70" spans="1:13" ht="37.5" x14ac:dyDescent="0.3">
      <c r="A70" s="233">
        <v>53120</v>
      </c>
      <c r="B70" s="508" t="s">
        <v>298</v>
      </c>
      <c r="C70" s="235">
        <v>8000</v>
      </c>
      <c r="D70" s="235">
        <v>60052</v>
      </c>
      <c r="E70" s="235">
        <v>8000</v>
      </c>
      <c r="F70" s="235">
        <v>60052</v>
      </c>
      <c r="G70" s="509">
        <f ca="1">SUM(OFFSET(G75,-1,0):OFFSET(G70,1,0))</f>
        <v>23353</v>
      </c>
      <c r="H70" s="222">
        <f ca="1">G70-F70</f>
        <v>-36699</v>
      </c>
      <c r="I70" s="223">
        <f ca="1">IFERROR(H70/ABS(F70), "-")</f>
        <v>-0.61112036235262768</v>
      </c>
      <c r="J70" s="798"/>
      <c r="K70" s="222">
        <f ca="1">G70-E70</f>
        <v>15353</v>
      </c>
      <c r="L70" s="223">
        <f ca="1">IFERROR(K70/ABS(E70), "-")</f>
        <v>1.919125</v>
      </c>
      <c r="M70" s="806"/>
    </row>
    <row r="71" spans="1:13" s="212" customFormat="1" ht="18.75" hidden="1" customHeight="1" x14ac:dyDescent="0.3">
      <c r="A71" s="362"/>
      <c r="B71" s="363"/>
      <c r="C71" s="209"/>
      <c r="D71" s="209"/>
      <c r="E71" s="209"/>
      <c r="F71" s="209"/>
      <c r="G71" s="495"/>
      <c r="H71" s="218">
        <f>G71-F71</f>
        <v>0</v>
      </c>
      <c r="I71" s="219" t="str">
        <f>IFERROR(H71/ABS(F71), "-")</f>
        <v>-</v>
      </c>
      <c r="J71" s="798"/>
      <c r="K71" s="218">
        <f>G71-E71</f>
        <v>0</v>
      </c>
      <c r="L71" s="219" t="str">
        <f>IFERROR(K71/ABS(E71), "-")</f>
        <v>-</v>
      </c>
      <c r="M71" s="806"/>
    </row>
    <row r="72" spans="1:13" s="212" customFormat="1" ht="18.75" customHeight="1" x14ac:dyDescent="0.3">
      <c r="A72" s="362"/>
      <c r="B72" s="364" t="s">
        <v>694</v>
      </c>
      <c r="C72" s="209">
        <v>8000</v>
      </c>
      <c r="D72" s="209">
        <v>60052</v>
      </c>
      <c r="E72" s="209">
        <v>8000</v>
      </c>
      <c r="F72" s="209">
        <v>60052</v>
      </c>
      <c r="G72" s="495">
        <v>23353</v>
      </c>
      <c r="H72" s="218"/>
      <c r="I72" s="219"/>
      <c r="J72" s="798"/>
      <c r="K72" s="218"/>
      <c r="L72" s="219"/>
      <c r="M72" s="806"/>
    </row>
    <row r="73" spans="1:13" s="212" customFormat="1" ht="18.75" customHeight="1" x14ac:dyDescent="0.3">
      <c r="A73" s="362"/>
      <c r="B73" s="363"/>
      <c r="C73" s="209"/>
      <c r="D73" s="209"/>
      <c r="E73" s="209"/>
      <c r="F73" s="209"/>
      <c r="G73" s="495"/>
      <c r="H73" s="218"/>
      <c r="I73" s="219"/>
      <c r="J73" s="798"/>
      <c r="K73" s="218"/>
      <c r="L73" s="219"/>
      <c r="M73" s="806"/>
    </row>
    <row r="74" spans="1:13" s="212" customFormat="1" x14ac:dyDescent="0.3">
      <c r="A74" s="362"/>
      <c r="B74" s="363"/>
      <c r="C74" s="209"/>
      <c r="D74" s="209"/>
      <c r="E74" s="209"/>
      <c r="F74" s="209"/>
      <c r="G74" s="495"/>
      <c r="H74" s="218">
        <f>G74-F74</f>
        <v>0</v>
      </c>
      <c r="I74" s="219" t="str">
        <f>IFERROR(H74/ABS(F74), "-")</f>
        <v>-</v>
      </c>
      <c r="J74" s="798"/>
      <c r="K74" s="218">
        <f>G74-E74</f>
        <v>0</v>
      </c>
      <c r="L74" s="219" t="str">
        <f>IFERROR(K74/ABS(E74), "-")</f>
        <v>-</v>
      </c>
      <c r="M74" s="806"/>
    </row>
    <row r="75" spans="1:13" ht="22.5" x14ac:dyDescent="0.3">
      <c r="A75" s="233">
        <v>53200</v>
      </c>
      <c r="B75" s="234" t="s">
        <v>556</v>
      </c>
      <c r="C75" s="235">
        <v>0</v>
      </c>
      <c r="D75" s="235">
        <v>0</v>
      </c>
      <c r="E75" s="235">
        <v>0</v>
      </c>
      <c r="F75" s="235">
        <v>0</v>
      </c>
      <c r="G75" s="509">
        <f ca="1">SUM(OFFSET(G79,-1,0):OFFSET(G75,1,0))</f>
        <v>0</v>
      </c>
      <c r="H75" s="205">
        <f ca="1">G75-F75</f>
        <v>0</v>
      </c>
      <c r="I75" s="206" t="str">
        <f ca="1">IFERROR(H75/ABS(F75), "-")</f>
        <v>-</v>
      </c>
      <c r="J75" s="798"/>
      <c r="K75" s="205">
        <f ca="1">G75-E75</f>
        <v>0</v>
      </c>
      <c r="L75" s="206" t="str">
        <f ca="1">IFERROR(K75/ABS(E75), "-")</f>
        <v>-</v>
      </c>
      <c r="M75" s="806"/>
    </row>
    <row r="76" spans="1:13" s="212" customFormat="1" ht="18.75" hidden="1" customHeight="1" x14ac:dyDescent="0.3">
      <c r="A76" s="362"/>
      <c r="B76" s="365"/>
      <c r="C76" s="209"/>
      <c r="D76" s="209"/>
      <c r="E76" s="209"/>
      <c r="F76" s="209"/>
      <c r="G76" s="217"/>
      <c r="H76" s="218">
        <f>G76-F76</f>
        <v>0</v>
      </c>
      <c r="I76" s="219" t="str">
        <f>IFERROR(H76/ABS(F76), "-")</f>
        <v>-</v>
      </c>
      <c r="J76" s="798"/>
      <c r="K76" s="218">
        <f>G76-E76</f>
        <v>0</v>
      </c>
      <c r="L76" s="219" t="str">
        <f>IFERROR(K76/ABS(E76), "-")</f>
        <v>-</v>
      </c>
      <c r="M76" s="806"/>
    </row>
    <row r="77" spans="1:13" s="212" customFormat="1" ht="18.75" customHeight="1" x14ac:dyDescent="0.3">
      <c r="A77" s="362"/>
      <c r="B77" s="365"/>
      <c r="C77" s="209"/>
      <c r="D77" s="209"/>
      <c r="E77" s="209"/>
      <c r="F77" s="209"/>
      <c r="G77" s="217"/>
      <c r="H77" s="218"/>
      <c r="I77" s="219"/>
      <c r="J77" s="798"/>
      <c r="K77" s="218"/>
      <c r="L77" s="219"/>
      <c r="M77" s="806"/>
    </row>
    <row r="78" spans="1:13" s="212" customFormat="1" x14ac:dyDescent="0.3">
      <c r="A78" s="362"/>
      <c r="B78" s="365"/>
      <c r="C78" s="209"/>
      <c r="D78" s="209"/>
      <c r="E78" s="209"/>
      <c r="F78" s="209"/>
      <c r="G78" s="217"/>
      <c r="H78" s="218">
        <f>G78-F78</f>
        <v>0</v>
      </c>
      <c r="I78" s="219" t="str">
        <f>IFERROR(H78/ABS(F78), "-")</f>
        <v>-</v>
      </c>
      <c r="J78" s="798"/>
      <c r="K78" s="218">
        <f>G78-E78</f>
        <v>0</v>
      </c>
      <c r="L78" s="219" t="str">
        <f>IFERROR(K78/ABS(E78), "-")</f>
        <v>-</v>
      </c>
      <c r="M78" s="806"/>
    </row>
    <row r="79" spans="1:13" ht="22.5" x14ac:dyDescent="0.3">
      <c r="A79" s="233">
        <v>53300</v>
      </c>
      <c r="B79" s="234" t="s">
        <v>557</v>
      </c>
      <c r="C79" s="235">
        <v>75498</v>
      </c>
      <c r="D79" s="235">
        <v>0</v>
      </c>
      <c r="E79" s="235">
        <v>75498</v>
      </c>
      <c r="F79" s="235">
        <v>0</v>
      </c>
      <c r="G79" s="509">
        <f ca="1">SUM(OFFSET(G94,-1,0):OFFSET(G79,1,0))</f>
        <v>40488</v>
      </c>
      <c r="H79" s="222">
        <f ca="1">G79-F79</f>
        <v>40488</v>
      </c>
      <c r="I79" s="223" t="str">
        <f ca="1">IFERROR(H79/ABS(F79), "-")</f>
        <v>-</v>
      </c>
      <c r="J79" s="798"/>
      <c r="K79" s="222">
        <f ca="1">G79-E79</f>
        <v>-35010</v>
      </c>
      <c r="L79" s="223">
        <f ca="1">IFERROR(K79/ABS(E79), "-")</f>
        <v>-0.46372089326869587</v>
      </c>
      <c r="M79" s="806"/>
    </row>
    <row r="80" spans="1:13" s="212" customFormat="1" ht="18.75" hidden="1" customHeight="1" x14ac:dyDescent="0.3">
      <c r="A80" s="362"/>
      <c r="B80" s="365"/>
      <c r="C80" s="209"/>
      <c r="D80" s="209"/>
      <c r="E80" s="209"/>
      <c r="F80" s="209"/>
      <c r="G80" s="495"/>
      <c r="H80" s="218">
        <f>G80-F80</f>
        <v>0</v>
      </c>
      <c r="I80" s="219" t="str">
        <f>IFERROR(H80/ABS(F80), "-")</f>
        <v>-</v>
      </c>
      <c r="J80" s="798"/>
      <c r="K80" s="218">
        <f>G80-E80</f>
        <v>0</v>
      </c>
      <c r="L80" s="219" t="str">
        <f>IFERROR(K80/ABS(E80), "-")</f>
        <v>-</v>
      </c>
      <c r="M80" s="806"/>
    </row>
    <row r="81" spans="1:13" s="212" customFormat="1" ht="18.75" customHeight="1" x14ac:dyDescent="0.3">
      <c r="A81" s="362"/>
      <c r="B81" s="365" t="s">
        <v>695</v>
      </c>
      <c r="C81" s="209">
        <v>75498</v>
      </c>
      <c r="D81" s="209"/>
      <c r="E81" s="209">
        <v>75498</v>
      </c>
      <c r="F81" s="209"/>
      <c r="G81" s="495">
        <v>8041</v>
      </c>
      <c r="H81" s="218"/>
      <c r="I81" s="219"/>
      <c r="J81" s="798"/>
      <c r="K81" s="218"/>
      <c r="L81" s="219"/>
      <c r="M81" s="806"/>
    </row>
    <row r="82" spans="1:13" s="212" customFormat="1" ht="18.75" customHeight="1" x14ac:dyDescent="0.3">
      <c r="A82" s="362"/>
      <c r="B82" s="365" t="s">
        <v>696</v>
      </c>
      <c r="C82" s="209"/>
      <c r="D82" s="209"/>
      <c r="E82" s="209"/>
      <c r="F82" s="209"/>
      <c r="G82" s="495">
        <v>561</v>
      </c>
      <c r="H82" s="218"/>
      <c r="I82" s="219"/>
      <c r="J82" s="798"/>
      <c r="K82" s="218"/>
      <c r="L82" s="219"/>
      <c r="M82" s="806"/>
    </row>
    <row r="83" spans="1:13" s="212" customFormat="1" ht="18.75" customHeight="1" x14ac:dyDescent="0.3">
      <c r="A83" s="362"/>
      <c r="B83" s="365" t="s">
        <v>697</v>
      </c>
      <c r="C83" s="209"/>
      <c r="D83" s="209"/>
      <c r="E83" s="209"/>
      <c r="F83" s="209"/>
      <c r="G83" s="495">
        <v>2237</v>
      </c>
      <c r="H83" s="218"/>
      <c r="I83" s="219"/>
      <c r="J83" s="798"/>
      <c r="K83" s="218"/>
      <c r="L83" s="219"/>
      <c r="M83" s="806"/>
    </row>
    <row r="84" spans="1:13" s="212" customFormat="1" ht="18.75" customHeight="1" x14ac:dyDescent="0.3">
      <c r="A84" s="362"/>
      <c r="B84" s="365" t="s">
        <v>698</v>
      </c>
      <c r="C84" s="209"/>
      <c r="D84" s="209"/>
      <c r="E84" s="209"/>
      <c r="F84" s="209"/>
      <c r="G84" s="495">
        <v>4381</v>
      </c>
      <c r="H84" s="218"/>
      <c r="I84" s="219"/>
      <c r="J84" s="798"/>
      <c r="K84" s="218"/>
      <c r="L84" s="219"/>
      <c r="M84" s="806"/>
    </row>
    <row r="85" spans="1:13" s="212" customFormat="1" ht="18.75" customHeight="1" x14ac:dyDescent="0.3">
      <c r="A85" s="362"/>
      <c r="B85" s="365" t="s">
        <v>699</v>
      </c>
      <c r="C85" s="209"/>
      <c r="D85" s="209"/>
      <c r="E85" s="209"/>
      <c r="F85" s="209"/>
      <c r="G85" s="495">
        <v>12403</v>
      </c>
      <c r="H85" s="218"/>
      <c r="I85" s="219"/>
      <c r="J85" s="798"/>
      <c r="K85" s="218"/>
      <c r="L85" s="219"/>
      <c r="M85" s="806"/>
    </row>
    <row r="86" spans="1:13" s="212" customFormat="1" ht="18.75" customHeight="1" x14ac:dyDescent="0.3">
      <c r="A86" s="362"/>
      <c r="B86" s="365" t="s">
        <v>700</v>
      </c>
      <c r="C86" s="209"/>
      <c r="D86" s="209"/>
      <c r="E86" s="209"/>
      <c r="F86" s="209"/>
      <c r="G86" s="495">
        <v>1318</v>
      </c>
      <c r="H86" s="218"/>
      <c r="I86" s="219"/>
      <c r="J86" s="798"/>
      <c r="K86" s="218"/>
      <c r="L86" s="219"/>
      <c r="M86" s="806"/>
    </row>
    <row r="87" spans="1:13" s="212" customFormat="1" ht="18.75" customHeight="1" x14ac:dyDescent="0.3">
      <c r="A87" s="362"/>
      <c r="B87" s="365" t="s">
        <v>701</v>
      </c>
      <c r="C87" s="209"/>
      <c r="D87" s="209"/>
      <c r="E87" s="209"/>
      <c r="F87" s="209"/>
      <c r="G87" s="495">
        <v>3545</v>
      </c>
      <c r="H87" s="218"/>
      <c r="I87" s="219"/>
      <c r="J87" s="798"/>
      <c r="K87" s="218"/>
      <c r="L87" s="219"/>
      <c r="M87" s="806"/>
    </row>
    <row r="88" spans="1:13" s="212" customFormat="1" ht="18.75" customHeight="1" x14ac:dyDescent="0.3">
      <c r="A88" s="362"/>
      <c r="B88" s="365" t="s">
        <v>702</v>
      </c>
      <c r="C88" s="209"/>
      <c r="D88" s="209"/>
      <c r="E88" s="209"/>
      <c r="F88" s="209"/>
      <c r="G88" s="495">
        <v>1671</v>
      </c>
      <c r="H88" s="218"/>
      <c r="I88" s="219"/>
      <c r="J88" s="798"/>
      <c r="K88" s="218"/>
      <c r="L88" s="219"/>
      <c r="M88" s="806"/>
    </row>
    <row r="89" spans="1:13" s="212" customFormat="1" ht="18.75" customHeight="1" x14ac:dyDescent="0.3">
      <c r="A89" s="362"/>
      <c r="B89" s="365" t="s">
        <v>777</v>
      </c>
      <c r="C89" s="209"/>
      <c r="D89" s="209"/>
      <c r="E89" s="209"/>
      <c r="F89" s="209"/>
      <c r="G89" s="495">
        <v>2861</v>
      </c>
      <c r="H89" s="218"/>
      <c r="I89" s="219"/>
      <c r="J89" s="798"/>
      <c r="K89" s="218"/>
      <c r="L89" s="219"/>
      <c r="M89" s="806"/>
    </row>
    <row r="90" spans="1:13" s="212" customFormat="1" ht="18.75" customHeight="1" x14ac:dyDescent="0.3">
      <c r="A90" s="362"/>
      <c r="B90" s="365" t="s">
        <v>703</v>
      </c>
      <c r="C90" s="209"/>
      <c r="D90" s="209"/>
      <c r="E90" s="209"/>
      <c r="F90" s="209"/>
      <c r="G90" s="495">
        <v>543</v>
      </c>
      <c r="H90" s="218"/>
      <c r="I90" s="219"/>
      <c r="J90" s="798"/>
      <c r="K90" s="218"/>
      <c r="L90" s="219"/>
      <c r="M90" s="806"/>
    </row>
    <row r="91" spans="1:13" s="212" customFormat="1" ht="18.75" customHeight="1" x14ac:dyDescent="0.3">
      <c r="A91" s="362"/>
      <c r="B91" s="365" t="s">
        <v>704</v>
      </c>
      <c r="C91" s="209"/>
      <c r="D91" s="209"/>
      <c r="E91" s="209"/>
      <c r="F91" s="209"/>
      <c r="G91" s="495">
        <v>2927</v>
      </c>
      <c r="H91" s="218"/>
      <c r="I91" s="219"/>
      <c r="J91" s="798"/>
      <c r="K91" s="218"/>
      <c r="L91" s="219"/>
      <c r="M91" s="806"/>
    </row>
    <row r="92" spans="1:13" s="212" customFormat="1" ht="18.75" customHeight="1" x14ac:dyDescent="0.3">
      <c r="A92" s="362"/>
      <c r="B92" s="365"/>
      <c r="C92" s="209"/>
      <c r="D92" s="209"/>
      <c r="E92" s="209"/>
      <c r="F92" s="209"/>
      <c r="G92" s="217"/>
      <c r="H92" s="218"/>
      <c r="I92" s="219"/>
      <c r="J92" s="798"/>
      <c r="K92" s="218"/>
      <c r="L92" s="219"/>
      <c r="M92" s="806"/>
    </row>
    <row r="93" spans="1:13" s="212" customFormat="1" x14ac:dyDescent="0.3">
      <c r="A93" s="362"/>
      <c r="B93" s="365"/>
      <c r="C93" s="209"/>
      <c r="D93" s="209"/>
      <c r="E93" s="209"/>
      <c r="F93" s="209"/>
      <c r="G93" s="217"/>
      <c r="H93" s="218">
        <f>G93-F93</f>
        <v>0</v>
      </c>
      <c r="I93" s="219" t="str">
        <f>IFERROR(H93/ABS(F93), "-")</f>
        <v>-</v>
      </c>
      <c r="J93" s="798"/>
      <c r="K93" s="218">
        <f>G93-E93</f>
        <v>0</v>
      </c>
      <c r="L93" s="219" t="str">
        <f>IFERROR(K93/ABS(E93), "-")</f>
        <v>-</v>
      </c>
      <c r="M93" s="806"/>
    </row>
    <row r="94" spans="1:13" ht="41.25" x14ac:dyDescent="0.3">
      <c r="A94" s="233">
        <v>53400</v>
      </c>
      <c r="B94" s="234" t="s">
        <v>558</v>
      </c>
      <c r="C94" s="235">
        <v>100601</v>
      </c>
      <c r="D94" s="235">
        <v>0</v>
      </c>
      <c r="E94" s="235">
        <v>100601</v>
      </c>
      <c r="F94" s="235">
        <v>0</v>
      </c>
      <c r="G94" s="509">
        <f ca="1">SUM(OFFSET(G102,-1,0):OFFSET(G94,1,0))</f>
        <v>27080</v>
      </c>
      <c r="H94" s="222">
        <f ca="1">G94-F94</f>
        <v>27080</v>
      </c>
      <c r="I94" s="223" t="str">
        <f ca="1">IFERROR(H94/ABS(F94), "-")</f>
        <v>-</v>
      </c>
      <c r="J94" s="798"/>
      <c r="K94" s="222">
        <f ca="1">G94-E94</f>
        <v>-73521</v>
      </c>
      <c r="L94" s="223">
        <f ca="1">IFERROR(K94/ABS(E94), "-")</f>
        <v>-0.73081778511147999</v>
      </c>
      <c r="M94" s="806"/>
    </row>
    <row r="95" spans="1:13" s="212" customFormat="1" ht="18.75" hidden="1" customHeight="1" x14ac:dyDescent="0.3">
      <c r="A95" s="362"/>
      <c r="B95" s="365"/>
      <c r="C95" s="209"/>
      <c r="D95" s="209"/>
      <c r="E95" s="209"/>
      <c r="F95" s="209"/>
      <c r="G95" s="495"/>
      <c r="H95" s="218">
        <f>G95-F95</f>
        <v>0</v>
      </c>
      <c r="I95" s="219" t="str">
        <f>IFERROR(H95/ABS(F95), "-")</f>
        <v>-</v>
      </c>
      <c r="J95" s="798"/>
      <c r="K95" s="218">
        <f>G95-E95</f>
        <v>0</v>
      </c>
      <c r="L95" s="219" t="str">
        <f>IFERROR(K95/ABS(E95), "-")</f>
        <v>-</v>
      </c>
      <c r="M95" s="806"/>
    </row>
    <row r="96" spans="1:13" s="212" customFormat="1" ht="18.75" customHeight="1" x14ac:dyDescent="0.3">
      <c r="A96" s="362"/>
      <c r="B96" s="365" t="s">
        <v>705</v>
      </c>
      <c r="C96" s="209">
        <v>100601</v>
      </c>
      <c r="D96" s="209"/>
      <c r="E96" s="209">
        <v>100601</v>
      </c>
      <c r="F96" s="209"/>
      <c r="G96" s="495">
        <v>5486</v>
      </c>
      <c r="H96" s="218"/>
      <c r="I96" s="219"/>
      <c r="J96" s="798"/>
      <c r="K96" s="218"/>
      <c r="L96" s="219"/>
      <c r="M96" s="806"/>
    </row>
    <row r="97" spans="1:13" s="212" customFormat="1" ht="18.75" customHeight="1" x14ac:dyDescent="0.3">
      <c r="A97" s="362"/>
      <c r="B97" s="365" t="s">
        <v>706</v>
      </c>
      <c r="C97" s="209"/>
      <c r="D97" s="209"/>
      <c r="E97" s="209"/>
      <c r="F97" s="209"/>
      <c r="G97" s="495">
        <v>9675</v>
      </c>
      <c r="H97" s="218"/>
      <c r="I97" s="219"/>
      <c r="J97" s="798"/>
      <c r="K97" s="218"/>
      <c r="L97" s="219"/>
      <c r="M97" s="806"/>
    </row>
    <row r="98" spans="1:13" s="212" customFormat="1" ht="18.75" customHeight="1" x14ac:dyDescent="0.3">
      <c r="A98" s="362"/>
      <c r="B98" s="365" t="s">
        <v>707</v>
      </c>
      <c r="C98" s="209"/>
      <c r="D98" s="209"/>
      <c r="E98" s="209"/>
      <c r="F98" s="209"/>
      <c r="G98" s="495">
        <v>9741</v>
      </c>
      <c r="H98" s="218"/>
      <c r="I98" s="219"/>
      <c r="J98" s="798"/>
      <c r="K98" s="218"/>
      <c r="L98" s="219"/>
      <c r="M98" s="806"/>
    </row>
    <row r="99" spans="1:13" s="212" customFormat="1" ht="18.75" customHeight="1" x14ac:dyDescent="0.3">
      <c r="A99" s="362"/>
      <c r="B99" s="365" t="s">
        <v>708</v>
      </c>
      <c r="C99" s="209"/>
      <c r="D99" s="209"/>
      <c r="E99" s="209"/>
      <c r="F99" s="209"/>
      <c r="G99" s="495">
        <v>2178</v>
      </c>
      <c r="H99" s="218"/>
      <c r="I99" s="219"/>
      <c r="J99" s="798"/>
      <c r="K99" s="218"/>
      <c r="L99" s="219"/>
      <c r="M99" s="806"/>
    </row>
    <row r="100" spans="1:13" s="212" customFormat="1" ht="18.75" customHeight="1" x14ac:dyDescent="0.3">
      <c r="A100" s="362"/>
      <c r="B100" s="365"/>
      <c r="C100" s="209"/>
      <c r="D100" s="209"/>
      <c r="E100" s="209"/>
      <c r="F100" s="209"/>
      <c r="G100" s="495"/>
      <c r="H100" s="218"/>
      <c r="I100" s="219"/>
      <c r="J100" s="798"/>
      <c r="K100" s="218"/>
      <c r="L100" s="219"/>
      <c r="M100" s="806"/>
    </row>
    <row r="101" spans="1:13" s="212" customFormat="1" x14ac:dyDescent="0.3">
      <c r="A101" s="362"/>
      <c r="B101" s="365"/>
      <c r="C101" s="209"/>
      <c r="D101" s="209"/>
      <c r="E101" s="209"/>
      <c r="F101" s="209"/>
      <c r="G101" s="495"/>
      <c r="H101" s="218">
        <f>G101-F101</f>
        <v>0</v>
      </c>
      <c r="I101" s="219" t="str">
        <f>IFERROR(H101/ABS(F101), "-")</f>
        <v>-</v>
      </c>
      <c r="J101" s="798"/>
      <c r="K101" s="218">
        <f>G101-E101</f>
        <v>0</v>
      </c>
      <c r="L101" s="219" t="str">
        <f>IFERROR(K101/ABS(E101), "-")</f>
        <v>-</v>
      </c>
      <c r="M101" s="806"/>
    </row>
    <row r="102" spans="1:13" ht="41.25" x14ac:dyDescent="0.3">
      <c r="A102" s="233">
        <v>53500</v>
      </c>
      <c r="B102" s="234" t="s">
        <v>559</v>
      </c>
      <c r="C102" s="235">
        <v>0</v>
      </c>
      <c r="D102" s="235">
        <v>0</v>
      </c>
      <c r="E102" s="235">
        <v>0</v>
      </c>
      <c r="F102" s="235">
        <v>0</v>
      </c>
      <c r="G102" s="509">
        <f ca="1">SUM(OFFSET(G106,-1,0):OFFSET(G102,1,0))</f>
        <v>0</v>
      </c>
      <c r="H102" s="222">
        <f ca="1">G102-F102</f>
        <v>0</v>
      </c>
      <c r="I102" s="223" t="str">
        <f ca="1">IFERROR(H102/ABS(F102), "-")</f>
        <v>-</v>
      </c>
      <c r="J102" s="798"/>
      <c r="K102" s="222">
        <f ca="1">G102-E102</f>
        <v>0</v>
      </c>
      <c r="L102" s="223" t="str">
        <f ca="1">IFERROR(K102/ABS(E102), "-")</f>
        <v>-</v>
      </c>
      <c r="M102" s="806"/>
    </row>
    <row r="103" spans="1:13" s="212" customFormat="1" ht="18.75" hidden="1" customHeight="1" x14ac:dyDescent="0.3">
      <c r="A103" s="362"/>
      <c r="B103" s="365"/>
      <c r="C103" s="209"/>
      <c r="D103" s="209"/>
      <c r="E103" s="209"/>
      <c r="F103" s="209"/>
      <c r="G103" s="495"/>
      <c r="H103" s="218">
        <f>G103-F103</f>
        <v>0</v>
      </c>
      <c r="I103" s="219" t="str">
        <f>IFERROR(H103/ABS(F103), "-")</f>
        <v>-</v>
      </c>
      <c r="J103" s="798"/>
      <c r="K103" s="218">
        <f>G103-E103</f>
        <v>0</v>
      </c>
      <c r="L103" s="219" t="str">
        <f>IFERROR(K103/ABS(E103), "-")</f>
        <v>-</v>
      </c>
      <c r="M103" s="806"/>
    </row>
    <row r="104" spans="1:13" s="212" customFormat="1" ht="18.75" customHeight="1" x14ac:dyDescent="0.3">
      <c r="A104" s="366"/>
      <c r="B104" s="367"/>
      <c r="C104" s="209"/>
      <c r="D104" s="209"/>
      <c r="E104" s="209"/>
      <c r="F104" s="209"/>
      <c r="G104" s="495"/>
      <c r="H104" s="218"/>
      <c r="I104" s="219"/>
      <c r="J104" s="798"/>
      <c r="K104" s="218"/>
      <c r="L104" s="219"/>
      <c r="M104" s="806"/>
    </row>
    <row r="105" spans="1:13" s="212" customFormat="1" x14ac:dyDescent="0.3">
      <c r="A105" s="366"/>
      <c r="B105" s="367"/>
      <c r="C105" s="209"/>
      <c r="D105" s="209"/>
      <c r="E105" s="209"/>
      <c r="F105" s="209"/>
      <c r="G105" s="495"/>
      <c r="H105" s="218">
        <f>G105-F105</f>
        <v>0</v>
      </c>
      <c r="I105" s="219" t="str">
        <f>IFERROR(H105/ABS(F105), "-")</f>
        <v>-</v>
      </c>
      <c r="J105" s="798"/>
      <c r="K105" s="218">
        <f>G105-E105</f>
        <v>0</v>
      </c>
      <c r="L105" s="219" t="str">
        <f>IFERROR(K105/ABS(E105), "-")</f>
        <v>-</v>
      </c>
      <c r="M105" s="806"/>
    </row>
    <row r="106" spans="1:13" ht="41.25" x14ac:dyDescent="0.3">
      <c r="A106" s="464">
        <v>53600</v>
      </c>
      <c r="B106" s="465" t="s">
        <v>560</v>
      </c>
      <c r="C106" s="235">
        <v>0</v>
      </c>
      <c r="D106" s="235">
        <v>0</v>
      </c>
      <c r="E106" s="235">
        <v>0</v>
      </c>
      <c r="F106" s="235">
        <v>0</v>
      </c>
      <c r="G106" s="509">
        <f ca="1">SUM(OFFSET(G110,-1,0):OFFSET(G106,1,0))</f>
        <v>0</v>
      </c>
      <c r="H106" s="222">
        <f ca="1">G106-F106</f>
        <v>0</v>
      </c>
      <c r="I106" s="223" t="str">
        <f ca="1">IFERROR(H106/ABS(F106), "-")</f>
        <v>-</v>
      </c>
      <c r="J106" s="798"/>
      <c r="K106" s="222">
        <f ca="1">G106-E106</f>
        <v>0</v>
      </c>
      <c r="L106" s="223" t="str">
        <f ca="1">IFERROR(K106/ABS(E106), "-")</f>
        <v>-</v>
      </c>
      <c r="M106" s="806"/>
    </row>
    <row r="107" spans="1:13" s="212" customFormat="1" ht="18.75" hidden="1" customHeight="1" x14ac:dyDescent="0.3">
      <c r="A107" s="117"/>
      <c r="B107" s="118"/>
      <c r="C107" s="209"/>
      <c r="D107" s="209"/>
      <c r="E107" s="209"/>
      <c r="F107" s="209"/>
      <c r="G107" s="217"/>
      <c r="H107" s="218">
        <f>G107-F107</f>
        <v>0</v>
      </c>
      <c r="I107" s="219" t="str">
        <f>IFERROR(H107/ABS(F107), "-")</f>
        <v>-</v>
      </c>
      <c r="J107" s="798"/>
      <c r="K107" s="218">
        <f>G107-E107</f>
        <v>0</v>
      </c>
      <c r="L107" s="219" t="str">
        <f>IFERROR(K107/ABS(E107), "-")</f>
        <v>-</v>
      </c>
      <c r="M107" s="806"/>
    </row>
    <row r="108" spans="1:13" s="212" customFormat="1" ht="18.75" customHeight="1" x14ac:dyDescent="0.3">
      <c r="A108" s="117"/>
      <c r="B108" s="118"/>
      <c r="C108" s="209"/>
      <c r="D108" s="209"/>
      <c r="E108" s="209"/>
      <c r="F108" s="209"/>
      <c r="G108" s="217"/>
      <c r="H108" s="218"/>
      <c r="I108" s="219"/>
      <c r="J108" s="798"/>
      <c r="K108" s="218"/>
      <c r="L108" s="219"/>
      <c r="M108" s="806"/>
    </row>
    <row r="109" spans="1:13" s="212" customFormat="1" x14ac:dyDescent="0.3">
      <c r="A109" s="117"/>
      <c r="B109" s="118"/>
      <c r="C109" s="209"/>
      <c r="D109" s="209"/>
      <c r="E109" s="209"/>
      <c r="F109" s="209"/>
      <c r="G109" s="217"/>
      <c r="H109" s="218">
        <f>G109-F109</f>
        <v>0</v>
      </c>
      <c r="I109" s="219" t="str">
        <f>IFERROR(H109/ABS(F109), "-")</f>
        <v>-</v>
      </c>
      <c r="J109" s="799"/>
      <c r="K109" s="218">
        <f>G109-E109</f>
        <v>0</v>
      </c>
      <c r="L109" s="219" t="str">
        <f>IFERROR(K109/ABS(E109), "-")</f>
        <v>-</v>
      </c>
      <c r="M109" s="807"/>
    </row>
    <row r="110" spans="1:13" ht="19.5" x14ac:dyDescent="0.35">
      <c r="A110" s="198">
        <v>50000</v>
      </c>
      <c r="B110" s="199" t="s">
        <v>296</v>
      </c>
      <c r="C110" s="225">
        <v>699038</v>
      </c>
      <c r="D110" s="225">
        <v>788930.5</v>
      </c>
      <c r="E110" s="225">
        <v>699038</v>
      </c>
      <c r="F110" s="225">
        <v>788930.5</v>
      </c>
      <c r="G110" s="342">
        <f t="shared" ref="G110" ca="1" si="5">G3+G24+G16</f>
        <v>1784741</v>
      </c>
      <c r="H110" s="226">
        <f ca="1">G110-F110</f>
        <v>995810.5</v>
      </c>
      <c r="I110" s="227">
        <f ca="1">IFERROR(H110/ABS(F110), "-")</f>
        <v>1.2622284218952113</v>
      </c>
      <c r="J110" s="228"/>
      <c r="K110" s="226">
        <f ca="1">G110-E110</f>
        <v>1085703</v>
      </c>
      <c r="L110" s="227">
        <f ca="1">IFERROR(K110/ABS(E110), "-")</f>
        <v>1.5531387420998573</v>
      </c>
      <c r="M110" s="466"/>
    </row>
    <row r="111" spans="1:13" x14ac:dyDescent="0.3">
      <c r="A111" s="229"/>
      <c r="B111" s="368"/>
      <c r="C111" s="230"/>
      <c r="G111" s="195"/>
    </row>
    <row r="112" spans="1:13" x14ac:dyDescent="0.3">
      <c r="A112" s="195" t="s">
        <v>583</v>
      </c>
      <c r="G112" s="195"/>
    </row>
    <row r="113" spans="1:13" ht="61.5" customHeight="1" x14ac:dyDescent="0.3">
      <c r="A113" s="801" t="s">
        <v>574</v>
      </c>
      <c r="B113" s="802"/>
      <c r="C113" s="802"/>
      <c r="D113" s="802"/>
      <c r="G113" s="195"/>
    </row>
    <row r="114" spans="1:13" x14ac:dyDescent="0.3">
      <c r="A114" s="801" t="s">
        <v>532</v>
      </c>
      <c r="B114" s="802"/>
      <c r="C114" s="802"/>
      <c r="D114" s="802"/>
      <c r="E114" s="195"/>
      <c r="M114" s="195"/>
    </row>
    <row r="115" spans="1:13" x14ac:dyDescent="0.3">
      <c r="A115" s="803" t="s">
        <v>533</v>
      </c>
      <c r="B115" s="804"/>
      <c r="C115" s="804"/>
      <c r="D115" s="804"/>
      <c r="E115" s="195"/>
      <c r="M115" s="195"/>
    </row>
    <row r="116" spans="1:13" x14ac:dyDescent="0.3">
      <c r="A116" s="803" t="s">
        <v>534</v>
      </c>
      <c r="B116" s="804"/>
      <c r="C116" s="804"/>
      <c r="D116" s="804"/>
      <c r="E116" s="195"/>
      <c r="M116" s="195"/>
    </row>
    <row r="117" spans="1:13" x14ac:dyDescent="0.3">
      <c r="A117" s="801" t="s">
        <v>535</v>
      </c>
      <c r="B117" s="802"/>
      <c r="C117" s="802"/>
      <c r="D117" s="802"/>
      <c r="E117" s="195"/>
      <c r="M117" s="195"/>
    </row>
    <row r="118" spans="1:13" x14ac:dyDescent="0.3">
      <c r="A118" s="801" t="s">
        <v>536</v>
      </c>
      <c r="B118" s="802"/>
      <c r="C118" s="802"/>
      <c r="D118" s="802"/>
      <c r="E118" s="195"/>
      <c r="M118" s="195"/>
    </row>
    <row r="119" spans="1:13" x14ac:dyDescent="0.3">
      <c r="A119" s="231" t="s">
        <v>537</v>
      </c>
      <c r="E119" s="195"/>
      <c r="M119" s="195"/>
    </row>
    <row r="120" spans="1:13" x14ac:dyDescent="0.3">
      <c r="A120" s="801" t="s">
        <v>538</v>
      </c>
      <c r="B120" s="802"/>
      <c r="C120" s="802"/>
      <c r="D120" s="802"/>
      <c r="E120" s="195"/>
      <c r="M120" s="195"/>
    </row>
    <row r="121" spans="1:13" x14ac:dyDescent="0.3">
      <c r="A121" s="803" t="s">
        <v>539</v>
      </c>
      <c r="B121" s="804"/>
      <c r="C121" s="804"/>
      <c r="D121" s="804"/>
      <c r="E121" s="195"/>
      <c r="M121" s="195"/>
    </row>
    <row r="122" spans="1:13" x14ac:dyDescent="0.3">
      <c r="A122" s="801" t="s">
        <v>540</v>
      </c>
      <c r="B122" s="802"/>
      <c r="C122" s="802"/>
      <c r="D122" s="802"/>
      <c r="E122" s="195"/>
      <c r="M122" s="195"/>
    </row>
    <row r="123" spans="1:13" x14ac:dyDescent="0.3">
      <c r="A123" s="801" t="s">
        <v>541</v>
      </c>
      <c r="B123" s="802"/>
      <c r="C123" s="802"/>
      <c r="D123" s="802"/>
      <c r="E123" s="195"/>
      <c r="M123" s="195"/>
    </row>
    <row r="124" spans="1:13" x14ac:dyDescent="0.3">
      <c r="A124" s="801" t="s">
        <v>542</v>
      </c>
      <c r="B124" s="802"/>
      <c r="C124" s="802"/>
      <c r="D124" s="802"/>
      <c r="E124" s="195"/>
      <c r="M124" s="195"/>
    </row>
    <row r="125" spans="1:13" x14ac:dyDescent="0.3">
      <c r="A125" s="801" t="s">
        <v>543</v>
      </c>
      <c r="B125" s="802"/>
      <c r="C125" s="802"/>
      <c r="D125" s="802"/>
      <c r="E125" s="195"/>
      <c r="M125" s="195"/>
    </row>
    <row r="126" spans="1:13" x14ac:dyDescent="0.3">
      <c r="A126" s="801" t="s">
        <v>544</v>
      </c>
      <c r="B126" s="802"/>
      <c r="C126" s="802"/>
      <c r="D126" s="802"/>
      <c r="E126" s="195"/>
      <c r="M126" s="195"/>
    </row>
    <row r="127" spans="1:13" x14ac:dyDescent="0.3">
      <c r="A127" s="801" t="s">
        <v>545</v>
      </c>
      <c r="B127" s="802"/>
      <c r="C127" s="802"/>
      <c r="D127" s="802"/>
      <c r="E127" s="195"/>
      <c r="M127" s="195"/>
    </row>
    <row r="128" spans="1:13" x14ac:dyDescent="0.3">
      <c r="A128" s="802" t="s">
        <v>531</v>
      </c>
      <c r="B128" s="802"/>
      <c r="C128" s="802"/>
      <c r="D128" s="802"/>
      <c r="E128" s="195"/>
      <c r="M128" s="195"/>
    </row>
    <row r="129" spans="1:13" x14ac:dyDescent="0.3">
      <c r="A129" s="802" t="s">
        <v>652</v>
      </c>
      <c r="B129" s="802"/>
      <c r="C129" s="802"/>
      <c r="D129" s="802"/>
      <c r="E129" s="195"/>
      <c r="M129" s="195"/>
    </row>
    <row r="130" spans="1:13" x14ac:dyDescent="0.3">
      <c r="A130" s="232" t="s">
        <v>653</v>
      </c>
      <c r="B130" s="490"/>
      <c r="C130" s="490"/>
      <c r="D130" s="490"/>
      <c r="E130" s="195"/>
      <c r="M130" s="195"/>
    </row>
    <row r="131" spans="1:13" x14ac:dyDescent="0.3">
      <c r="A131" s="490"/>
      <c r="B131" s="490"/>
      <c r="C131" s="490"/>
      <c r="D131" s="490"/>
      <c r="E131" s="195"/>
      <c r="M131" s="195"/>
    </row>
  </sheetData>
  <sheetProtection formatColumns="0" formatRows="0" insertRows="0" deleteRows="0"/>
  <mergeCells count="22">
    <mergeCell ref="A129:D129"/>
    <mergeCell ref="A122:D122"/>
    <mergeCell ref="A123:D123"/>
    <mergeCell ref="A113:D113"/>
    <mergeCell ref="A114:D114"/>
    <mergeCell ref="A115:D115"/>
    <mergeCell ref="A126:D126"/>
    <mergeCell ref="A127:D127"/>
    <mergeCell ref="A128:D128"/>
    <mergeCell ref="A125:D125"/>
    <mergeCell ref="J3:J15"/>
    <mergeCell ref="M3:M15"/>
    <mergeCell ref="J16:J23"/>
    <mergeCell ref="M16:M23"/>
    <mergeCell ref="A124:D124"/>
    <mergeCell ref="A117:D117"/>
    <mergeCell ref="A120:D120"/>
    <mergeCell ref="A116:D116"/>
    <mergeCell ref="A121:D121"/>
    <mergeCell ref="J24:J109"/>
    <mergeCell ref="M24:M109"/>
    <mergeCell ref="A118:D118"/>
  </mergeCells>
  <phoneticPr fontId="54" type="noConversion"/>
  <pageMargins left="0.70866141732283472" right="0.70866141732283472" top="0.74916666666666665" bottom="0.74803149606299213" header="0.31496062992125984" footer="0.31496062992125984"/>
  <pageSetup paperSize="9" scale="35" fitToHeight="0" orientation="portrait" verticalDpi="0" r:id="rId1"/>
  <headerFooter>
    <oddHeader xml:space="preserve">&amp;C&amp;"Times New Roman,Bold"&amp;14
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7">
    <tabColor rgb="FF00B0F0"/>
  </sheetPr>
  <dimension ref="A1:G112"/>
  <sheetViews>
    <sheetView topLeftCell="A37" workbookViewId="0">
      <selection activeCell="K45" sqref="K45"/>
    </sheetView>
  </sheetViews>
  <sheetFormatPr defaultRowHeight="15.75" x14ac:dyDescent="0.2"/>
  <cols>
    <col min="1" max="1" width="8.7109375" style="175" bestFit="1" customWidth="1"/>
    <col min="2" max="2" width="43.85546875" style="174" customWidth="1"/>
    <col min="3" max="3" width="19.85546875" style="373" customWidth="1"/>
    <col min="4" max="6" width="17.5703125" style="174" customWidth="1"/>
    <col min="7" max="7" width="32.7109375" style="462" customWidth="1"/>
    <col min="8" max="16384" width="9.140625" style="174"/>
  </cols>
  <sheetData>
    <row r="1" spans="1:7" ht="38.25" x14ac:dyDescent="0.2">
      <c r="A1" s="241" t="s">
        <v>584</v>
      </c>
      <c r="B1" s="242" t="s">
        <v>633</v>
      </c>
      <c r="C1" s="242" t="s">
        <v>634</v>
      </c>
      <c r="D1" s="242" t="s">
        <v>585</v>
      </c>
      <c r="E1" s="242" t="s">
        <v>586</v>
      </c>
      <c r="F1" s="242" t="s">
        <v>587</v>
      </c>
      <c r="G1" s="242" t="s">
        <v>588</v>
      </c>
    </row>
    <row r="2" spans="1:7" x14ac:dyDescent="0.2">
      <c r="A2" s="241"/>
      <c r="B2" s="242" t="s">
        <v>368</v>
      </c>
      <c r="C2" s="242"/>
      <c r="D2" s="242"/>
      <c r="E2" s="242"/>
      <c r="F2" s="242"/>
      <c r="G2" s="242"/>
    </row>
    <row r="3" spans="1:7" x14ac:dyDescent="0.2">
      <c r="A3" s="243" t="s">
        <v>589</v>
      </c>
      <c r="B3" s="244" t="s">
        <v>369</v>
      </c>
      <c r="C3" s="557">
        <f>C4+C9+C13+C17+C26</f>
        <v>6075250</v>
      </c>
      <c r="D3" s="245"/>
      <c r="E3" s="246"/>
      <c r="F3" s="247"/>
      <c r="G3" s="248"/>
    </row>
    <row r="4" spans="1:7" x14ac:dyDescent="0.2">
      <c r="A4" s="249" t="s">
        <v>590</v>
      </c>
      <c r="B4" s="250" t="s">
        <v>370</v>
      </c>
      <c r="C4" s="558"/>
      <c r="D4" s="251"/>
      <c r="E4" s="252"/>
      <c r="F4" s="253"/>
      <c r="G4" s="444"/>
    </row>
    <row r="5" spans="1:7" x14ac:dyDescent="0.2">
      <c r="A5" s="254" t="s">
        <v>591</v>
      </c>
      <c r="B5" s="255" t="s">
        <v>592</v>
      </c>
      <c r="C5" s="255"/>
      <c r="D5" s="256"/>
      <c r="E5" s="257"/>
      <c r="F5" s="258"/>
      <c r="G5" s="445"/>
    </row>
    <row r="6" spans="1:7" x14ac:dyDescent="0.2">
      <c r="A6" s="254" t="s">
        <v>593</v>
      </c>
      <c r="B6" s="255" t="s">
        <v>592</v>
      </c>
      <c r="C6" s="255"/>
      <c r="D6" s="256"/>
      <c r="E6" s="257"/>
      <c r="F6" s="258"/>
      <c r="G6" s="445"/>
    </row>
    <row r="7" spans="1:7" x14ac:dyDescent="0.2">
      <c r="A7" s="254" t="s">
        <v>594</v>
      </c>
      <c r="B7" s="255" t="s">
        <v>592</v>
      </c>
      <c r="C7" s="255"/>
      <c r="D7" s="256"/>
      <c r="E7" s="257"/>
      <c r="F7" s="258"/>
      <c r="G7" s="445"/>
    </row>
    <row r="8" spans="1:7" x14ac:dyDescent="0.2">
      <c r="A8" s="254"/>
      <c r="B8" s="255"/>
      <c r="C8" s="255"/>
      <c r="D8" s="259"/>
      <c r="E8" s="260"/>
      <c r="F8" s="261"/>
      <c r="G8" s="446"/>
    </row>
    <row r="9" spans="1:7" x14ac:dyDescent="0.2">
      <c r="A9" s="262" t="s">
        <v>595</v>
      </c>
      <c r="B9" s="263" t="s">
        <v>371</v>
      </c>
      <c r="C9" s="559"/>
      <c r="D9" s="251"/>
      <c r="E9" s="252"/>
      <c r="F9" s="253"/>
      <c r="G9" s="444"/>
    </row>
    <row r="10" spans="1:7" x14ac:dyDescent="0.2">
      <c r="A10" s="254" t="s">
        <v>596</v>
      </c>
      <c r="B10" s="264" t="s">
        <v>592</v>
      </c>
      <c r="C10" s="560"/>
      <c r="D10" s="265"/>
      <c r="E10" s="260"/>
      <c r="F10" s="261"/>
      <c r="G10" s="446"/>
    </row>
    <row r="11" spans="1:7" x14ac:dyDescent="0.2">
      <c r="A11" s="254" t="s">
        <v>597</v>
      </c>
      <c r="B11" s="264" t="s">
        <v>592</v>
      </c>
      <c r="C11" s="560"/>
      <c r="D11" s="265"/>
      <c r="E11" s="260"/>
      <c r="F11" s="261"/>
      <c r="G11" s="446"/>
    </row>
    <row r="12" spans="1:7" x14ac:dyDescent="0.2">
      <c r="A12" s="254" t="s">
        <v>594</v>
      </c>
      <c r="B12" s="264" t="s">
        <v>592</v>
      </c>
      <c r="C12" s="560"/>
      <c r="D12" s="265"/>
      <c r="E12" s="260"/>
      <c r="F12" s="261"/>
      <c r="G12" s="446"/>
    </row>
    <row r="13" spans="1:7" x14ac:dyDescent="0.2">
      <c r="A13" s="262" t="s">
        <v>598</v>
      </c>
      <c r="B13" s="263" t="s">
        <v>372</v>
      </c>
      <c r="C13" s="559"/>
      <c r="D13" s="251"/>
      <c r="E13" s="252"/>
      <c r="F13" s="253"/>
      <c r="G13" s="444"/>
    </row>
    <row r="14" spans="1:7" x14ac:dyDescent="0.2">
      <c r="A14" s="254" t="s">
        <v>599</v>
      </c>
      <c r="B14" s="264" t="s">
        <v>592</v>
      </c>
      <c r="C14" s="560"/>
      <c r="D14" s="265"/>
      <c r="E14" s="260"/>
      <c r="F14" s="261"/>
      <c r="G14" s="446"/>
    </row>
    <row r="15" spans="1:7" x14ac:dyDescent="0.2">
      <c r="A15" s="254" t="s">
        <v>600</v>
      </c>
      <c r="B15" s="264" t="s">
        <v>592</v>
      </c>
      <c r="C15" s="560"/>
      <c r="D15" s="265"/>
      <c r="E15" s="260"/>
      <c r="F15" s="261"/>
      <c r="G15" s="446"/>
    </row>
    <row r="16" spans="1:7" x14ac:dyDescent="0.2">
      <c r="A16" s="254" t="s">
        <v>594</v>
      </c>
      <c r="B16" s="264" t="s">
        <v>592</v>
      </c>
      <c r="C16" s="560"/>
      <c r="D16" s="265"/>
      <c r="E16" s="260"/>
      <c r="F16" s="261"/>
      <c r="G16" s="446"/>
    </row>
    <row r="17" spans="1:7" x14ac:dyDescent="0.2">
      <c r="A17" s="262" t="s">
        <v>601</v>
      </c>
      <c r="B17" s="263" t="s">
        <v>373</v>
      </c>
      <c r="C17" s="369">
        <f>C18+C19+C20+C21+C22+C23+C24</f>
        <v>6075250</v>
      </c>
      <c r="D17" s="251"/>
      <c r="E17" s="252"/>
      <c r="F17" s="253"/>
      <c r="G17" s="444"/>
    </row>
    <row r="18" spans="1:7" ht="25.5" x14ac:dyDescent="0.2">
      <c r="A18" s="254" t="s">
        <v>602</v>
      </c>
      <c r="B18" s="266" t="s">
        <v>717</v>
      </c>
      <c r="C18" s="561">
        <v>338193</v>
      </c>
      <c r="D18" s="267"/>
      <c r="E18" s="257"/>
      <c r="F18" s="258"/>
      <c r="G18" s="445"/>
    </row>
    <row r="19" spans="1:7" ht="25.5" x14ac:dyDescent="0.2">
      <c r="A19" s="254" t="s">
        <v>603</v>
      </c>
      <c r="B19" s="266" t="s">
        <v>718</v>
      </c>
      <c r="C19" s="561">
        <v>1351485</v>
      </c>
      <c r="D19" s="267"/>
      <c r="E19" s="257"/>
      <c r="F19" s="258"/>
      <c r="G19" s="445"/>
    </row>
    <row r="20" spans="1:7" ht="25.5" x14ac:dyDescent="0.2">
      <c r="A20" s="254" t="s">
        <v>594</v>
      </c>
      <c r="B20" s="266" t="s">
        <v>719</v>
      </c>
      <c r="C20" s="561">
        <v>2096558</v>
      </c>
      <c r="D20" s="267"/>
      <c r="E20" s="257"/>
      <c r="F20" s="258"/>
      <c r="G20" s="445"/>
    </row>
    <row r="21" spans="1:7" x14ac:dyDescent="0.2">
      <c r="A21" s="254"/>
      <c r="B21" s="266" t="s">
        <v>720</v>
      </c>
      <c r="C21" s="561">
        <v>1206249</v>
      </c>
      <c r="D21" s="267"/>
      <c r="E21" s="257"/>
      <c r="F21" s="258"/>
      <c r="G21" s="445"/>
    </row>
    <row r="22" spans="1:7" x14ac:dyDescent="0.2">
      <c r="A22" s="254"/>
      <c r="B22" s="266" t="s">
        <v>721</v>
      </c>
      <c r="C22" s="561">
        <v>932117</v>
      </c>
      <c r="D22" s="267"/>
      <c r="E22" s="257"/>
      <c r="F22" s="258"/>
      <c r="G22" s="445"/>
    </row>
    <row r="23" spans="1:7" x14ac:dyDescent="0.2">
      <c r="A23" s="254"/>
      <c r="B23" s="266" t="s">
        <v>722</v>
      </c>
      <c r="C23" s="561">
        <v>73956</v>
      </c>
      <c r="D23" s="267"/>
      <c r="E23" s="257"/>
      <c r="F23" s="258"/>
      <c r="G23" s="445"/>
    </row>
    <row r="24" spans="1:7" x14ac:dyDescent="0.2">
      <c r="A24" s="254"/>
      <c r="B24" s="266" t="s">
        <v>723</v>
      </c>
      <c r="C24" s="561">
        <v>76692</v>
      </c>
      <c r="D24" s="265"/>
      <c r="E24" s="260"/>
      <c r="F24" s="261"/>
      <c r="G24" s="446"/>
    </row>
    <row r="25" spans="1:7" x14ac:dyDescent="0.2">
      <c r="A25" s="254"/>
      <c r="B25" s="264"/>
      <c r="C25" s="560"/>
      <c r="D25" s="265"/>
      <c r="E25" s="260"/>
      <c r="F25" s="261"/>
      <c r="G25" s="446"/>
    </row>
    <row r="26" spans="1:7" x14ac:dyDescent="0.2">
      <c r="A26" s="262" t="s">
        <v>604</v>
      </c>
      <c r="B26" s="263" t="s">
        <v>374</v>
      </c>
      <c r="C26" s="371"/>
      <c r="D26" s="251"/>
      <c r="E26" s="252"/>
      <c r="F26" s="253"/>
      <c r="G26" s="444"/>
    </row>
    <row r="27" spans="1:7" x14ac:dyDescent="0.2">
      <c r="A27" s="254" t="s">
        <v>605</v>
      </c>
      <c r="B27" s="264" t="s">
        <v>592</v>
      </c>
      <c r="C27" s="370"/>
      <c r="D27" s="265"/>
      <c r="E27" s="260"/>
      <c r="F27" s="261"/>
      <c r="G27" s="446"/>
    </row>
    <row r="28" spans="1:7" x14ac:dyDescent="0.2">
      <c r="A28" s="254" t="s">
        <v>606</v>
      </c>
      <c r="B28" s="264" t="s">
        <v>592</v>
      </c>
      <c r="C28" s="370"/>
      <c r="D28" s="265"/>
      <c r="E28" s="260"/>
      <c r="F28" s="261"/>
      <c r="G28" s="446"/>
    </row>
    <row r="29" spans="1:7" x14ac:dyDescent="0.2">
      <c r="A29" s="254" t="s">
        <v>594</v>
      </c>
      <c r="B29" s="264" t="s">
        <v>592</v>
      </c>
      <c r="C29" s="370"/>
      <c r="D29" s="265"/>
      <c r="E29" s="260"/>
      <c r="F29" s="261"/>
      <c r="G29" s="446"/>
    </row>
    <row r="30" spans="1:7" x14ac:dyDescent="0.2">
      <c r="A30" s="243" t="s">
        <v>607</v>
      </c>
      <c r="B30" s="244" t="s">
        <v>375</v>
      </c>
      <c r="C30" s="557">
        <f>C39+C49+C57+C65+C69+C79</f>
        <v>1971697</v>
      </c>
      <c r="D30" s="245"/>
      <c r="E30" s="246"/>
      <c r="F30" s="247"/>
      <c r="G30" s="248"/>
    </row>
    <row r="31" spans="1:7" x14ac:dyDescent="0.2">
      <c r="A31" s="262" t="s">
        <v>608</v>
      </c>
      <c r="B31" s="263" t="s">
        <v>370</v>
      </c>
      <c r="C31" s="371"/>
      <c r="D31" s="251"/>
      <c r="E31" s="252"/>
      <c r="F31" s="253"/>
      <c r="G31" s="444"/>
    </row>
    <row r="32" spans="1:7" x14ac:dyDescent="0.2">
      <c r="A32" s="254" t="s">
        <v>609</v>
      </c>
      <c r="B32" s="264" t="s">
        <v>592</v>
      </c>
      <c r="C32" s="370"/>
      <c r="D32" s="265"/>
      <c r="E32" s="260"/>
      <c r="F32" s="261"/>
      <c r="G32" s="446"/>
    </row>
    <row r="33" spans="1:7" x14ac:dyDescent="0.2">
      <c r="A33" s="254" t="s">
        <v>610</v>
      </c>
      <c r="B33" s="264" t="s">
        <v>592</v>
      </c>
      <c r="C33" s="370"/>
      <c r="D33" s="265"/>
      <c r="E33" s="260"/>
      <c r="F33" s="261"/>
      <c r="G33" s="446"/>
    </row>
    <row r="34" spans="1:7" x14ac:dyDescent="0.2">
      <c r="A34" s="254" t="s">
        <v>594</v>
      </c>
      <c r="B34" s="264" t="s">
        <v>592</v>
      </c>
      <c r="C34" s="370"/>
      <c r="D34" s="265"/>
      <c r="E34" s="260"/>
      <c r="F34" s="261"/>
      <c r="G34" s="446"/>
    </row>
    <row r="35" spans="1:7" x14ac:dyDescent="0.2">
      <c r="A35" s="262" t="s">
        <v>611</v>
      </c>
      <c r="B35" s="263" t="s">
        <v>372</v>
      </c>
      <c r="C35" s="371"/>
      <c r="D35" s="252"/>
      <c r="E35" s="252"/>
      <c r="F35" s="253"/>
      <c r="G35" s="444"/>
    </row>
    <row r="36" spans="1:7" x14ac:dyDescent="0.2">
      <c r="A36" s="254" t="s">
        <v>612</v>
      </c>
      <c r="B36" s="264" t="s">
        <v>592</v>
      </c>
      <c r="C36" s="370"/>
      <c r="D36" s="260"/>
      <c r="E36" s="260"/>
      <c r="F36" s="261"/>
      <c r="G36" s="446"/>
    </row>
    <row r="37" spans="1:7" x14ac:dyDescent="0.2">
      <c r="A37" s="254" t="s">
        <v>613</v>
      </c>
      <c r="B37" s="264" t="s">
        <v>592</v>
      </c>
      <c r="C37" s="370"/>
      <c r="D37" s="260"/>
      <c r="E37" s="260"/>
      <c r="F37" s="261"/>
      <c r="G37" s="446"/>
    </row>
    <row r="38" spans="1:7" x14ac:dyDescent="0.2">
      <c r="A38" s="254" t="s">
        <v>594</v>
      </c>
      <c r="B38" s="264" t="s">
        <v>592</v>
      </c>
      <c r="C38" s="370"/>
      <c r="D38" s="260"/>
      <c r="E38" s="260"/>
      <c r="F38" s="261"/>
      <c r="G38" s="446"/>
    </row>
    <row r="39" spans="1:7" ht="38.25" x14ac:dyDescent="0.2">
      <c r="A39" s="262" t="s">
        <v>614</v>
      </c>
      <c r="B39" s="263" t="s">
        <v>724</v>
      </c>
      <c r="C39" s="369">
        <f>C40+C41+C42+C43+C44+C45</f>
        <v>20946</v>
      </c>
      <c r="D39" s="252"/>
      <c r="E39" s="252"/>
      <c r="F39" s="253"/>
      <c r="G39" s="444"/>
    </row>
    <row r="40" spans="1:7" x14ac:dyDescent="0.2">
      <c r="A40" s="254" t="s">
        <v>615</v>
      </c>
      <c r="B40" s="510" t="s">
        <v>842</v>
      </c>
      <c r="C40" s="562">
        <v>816</v>
      </c>
      <c r="D40" s="272"/>
      <c r="E40" s="272"/>
      <c r="F40" s="258"/>
      <c r="G40" s="524" t="s">
        <v>843</v>
      </c>
    </row>
    <row r="41" spans="1:7" x14ac:dyDescent="0.2">
      <c r="A41" s="254" t="s">
        <v>616</v>
      </c>
      <c r="B41" s="510" t="s">
        <v>740</v>
      </c>
      <c r="C41" s="562">
        <v>9020</v>
      </c>
      <c r="D41" s="272"/>
      <c r="E41" s="272"/>
      <c r="F41" s="258"/>
      <c r="G41" s="524" t="s">
        <v>844</v>
      </c>
    </row>
    <row r="42" spans="1:7" x14ac:dyDescent="0.2">
      <c r="A42" s="254" t="s">
        <v>594</v>
      </c>
      <c r="B42" s="510" t="s">
        <v>725</v>
      </c>
      <c r="C42" s="562">
        <v>4399</v>
      </c>
      <c r="D42" s="272"/>
      <c r="E42" s="272"/>
      <c r="F42" s="258"/>
      <c r="G42" s="524"/>
    </row>
    <row r="43" spans="1:7" x14ac:dyDescent="0.2">
      <c r="A43" s="269"/>
      <c r="B43" s="510" t="s">
        <v>840</v>
      </c>
      <c r="C43" s="562">
        <v>1829</v>
      </c>
      <c r="D43" s="272"/>
      <c r="E43" s="272"/>
      <c r="F43" s="258"/>
      <c r="G43" s="445"/>
    </row>
    <row r="44" spans="1:7" x14ac:dyDescent="0.2">
      <c r="A44" s="269"/>
      <c r="B44" s="510" t="s">
        <v>839</v>
      </c>
      <c r="C44" s="562">
        <v>1544</v>
      </c>
      <c r="D44" s="272"/>
      <c r="E44" s="272"/>
      <c r="F44" s="258"/>
      <c r="G44" s="445"/>
    </row>
    <row r="45" spans="1:7" x14ac:dyDescent="0.2">
      <c r="A45" s="269"/>
      <c r="B45" s="255" t="s">
        <v>841</v>
      </c>
      <c r="C45" s="372">
        <v>3338</v>
      </c>
      <c r="D45" s="257"/>
      <c r="E45" s="257"/>
      <c r="F45" s="258"/>
      <c r="G45" s="445"/>
    </row>
    <row r="46" spans="1:7" x14ac:dyDescent="0.2">
      <c r="A46" s="254"/>
      <c r="B46" s="264"/>
      <c r="C46" s="372"/>
      <c r="D46" s="260"/>
      <c r="E46" s="260"/>
      <c r="F46" s="261"/>
      <c r="G46" s="446"/>
    </row>
    <row r="47" spans="1:7" x14ac:dyDescent="0.2">
      <c r="A47" s="254"/>
      <c r="B47" s="268"/>
      <c r="C47" s="519"/>
      <c r="D47" s="260"/>
      <c r="E47" s="260"/>
      <c r="F47" s="261"/>
      <c r="G47" s="446"/>
    </row>
    <row r="48" spans="1:7" x14ac:dyDescent="0.2">
      <c r="A48" s="254"/>
      <c r="C48" s="520"/>
      <c r="D48" s="257"/>
      <c r="E48" s="257"/>
      <c r="F48" s="258"/>
      <c r="G48" s="445"/>
    </row>
    <row r="49" spans="1:7" ht="38.25" x14ac:dyDescent="0.2">
      <c r="A49" s="262" t="s">
        <v>617</v>
      </c>
      <c r="B49" s="263" t="s">
        <v>726</v>
      </c>
      <c r="C49" s="369">
        <f>C50+C51+C52+C53+C54+C55</f>
        <v>168623</v>
      </c>
      <c r="D49" s="252"/>
      <c r="E49" s="252"/>
      <c r="F49" s="253"/>
      <c r="G49" s="444"/>
    </row>
    <row r="50" spans="1:7" x14ac:dyDescent="0.2">
      <c r="A50" s="254" t="s">
        <v>618</v>
      </c>
      <c r="B50" s="447" t="s">
        <v>761</v>
      </c>
      <c r="C50" s="448">
        <v>48669</v>
      </c>
      <c r="D50" s="260"/>
      <c r="E50" s="260"/>
      <c r="F50" s="261"/>
      <c r="G50" s="446"/>
    </row>
    <row r="51" spans="1:7" x14ac:dyDescent="0.2">
      <c r="A51" s="254" t="s">
        <v>619</v>
      </c>
      <c r="B51" s="255" t="s">
        <v>835</v>
      </c>
      <c r="C51" s="521">
        <v>25745</v>
      </c>
      <c r="D51" s="260"/>
      <c r="E51" s="260"/>
      <c r="F51" s="261"/>
      <c r="G51" s="446"/>
    </row>
    <row r="52" spans="1:7" x14ac:dyDescent="0.2">
      <c r="A52" s="254" t="s">
        <v>837</v>
      </c>
      <c r="B52" s="255" t="s">
        <v>836</v>
      </c>
      <c r="C52" s="521">
        <v>13303</v>
      </c>
      <c r="D52" s="260"/>
      <c r="E52" s="260"/>
      <c r="F52" s="261"/>
      <c r="G52" s="446"/>
    </row>
    <row r="53" spans="1:7" x14ac:dyDescent="0.2">
      <c r="A53" s="254" t="s">
        <v>594</v>
      </c>
      <c r="B53" s="447" t="s">
        <v>727</v>
      </c>
      <c r="C53" s="448">
        <v>9155</v>
      </c>
      <c r="D53" s="374"/>
      <c r="E53" s="260"/>
      <c r="F53" s="261"/>
      <c r="G53" s="446"/>
    </row>
    <row r="54" spans="1:7" x14ac:dyDescent="0.2">
      <c r="A54" s="254"/>
      <c r="B54" s="447" t="s">
        <v>728</v>
      </c>
      <c r="C54" s="448">
        <v>12470</v>
      </c>
      <c r="D54" s="260"/>
      <c r="E54" s="260"/>
      <c r="F54" s="261"/>
      <c r="G54" s="446"/>
    </row>
    <row r="55" spans="1:7" x14ac:dyDescent="0.2">
      <c r="A55" s="254"/>
      <c r="B55" s="264" t="s">
        <v>838</v>
      </c>
      <c r="C55" s="523">
        <v>59281</v>
      </c>
      <c r="D55" s="260"/>
      <c r="E55" s="260"/>
      <c r="F55" s="261"/>
      <c r="G55" s="446"/>
    </row>
    <row r="56" spans="1:7" x14ac:dyDescent="0.2">
      <c r="A56" s="254"/>
      <c r="B56" s="272"/>
      <c r="C56" s="522"/>
      <c r="D56" s="260"/>
      <c r="E56" s="260"/>
      <c r="F56" s="261"/>
      <c r="G56" s="446"/>
    </row>
    <row r="57" spans="1:7" x14ac:dyDescent="0.2">
      <c r="A57" s="262" t="s">
        <v>620</v>
      </c>
      <c r="B57" s="250" t="s">
        <v>378</v>
      </c>
      <c r="C57" s="369">
        <f>C58+C59+C60+C61+C62+C63</f>
        <v>708207</v>
      </c>
      <c r="D57" s="252"/>
      <c r="E57" s="252"/>
      <c r="F57" s="253"/>
      <c r="G57" s="444"/>
    </row>
    <row r="58" spans="1:7" x14ac:dyDescent="0.2">
      <c r="A58" s="270" t="s">
        <v>621</v>
      </c>
      <c r="B58" s="271" t="s">
        <v>729</v>
      </c>
      <c r="C58" s="375">
        <v>451704</v>
      </c>
      <c r="D58" s="257"/>
      <c r="E58" s="257"/>
      <c r="F58" s="258"/>
      <c r="G58" s="445"/>
    </row>
    <row r="59" spans="1:7" x14ac:dyDescent="0.2">
      <c r="A59" s="270" t="s">
        <v>622</v>
      </c>
      <c r="B59" s="271" t="s">
        <v>730</v>
      </c>
      <c r="C59" s="375">
        <v>247421</v>
      </c>
      <c r="D59" s="257"/>
      <c r="E59" s="257"/>
      <c r="F59" s="258"/>
      <c r="G59" s="445"/>
    </row>
    <row r="60" spans="1:7" x14ac:dyDescent="0.2">
      <c r="A60" s="270" t="s">
        <v>594</v>
      </c>
      <c r="B60" s="271" t="s">
        <v>731</v>
      </c>
      <c r="C60" s="375">
        <v>6419</v>
      </c>
      <c r="D60" s="376"/>
      <c r="E60" s="257"/>
      <c r="F60" s="258"/>
      <c r="G60" s="445"/>
    </row>
    <row r="61" spans="1:7" x14ac:dyDescent="0.2">
      <c r="A61" s="270"/>
      <c r="B61" s="271" t="s">
        <v>732</v>
      </c>
      <c r="C61" s="375">
        <v>0</v>
      </c>
      <c r="D61" s="260"/>
      <c r="E61" s="260"/>
      <c r="F61" s="261"/>
      <c r="G61" s="446"/>
    </row>
    <row r="62" spans="1:7" x14ac:dyDescent="0.2">
      <c r="A62" s="270"/>
      <c r="B62" s="271" t="s">
        <v>733</v>
      </c>
      <c r="C62" s="375">
        <v>2599</v>
      </c>
      <c r="D62" s="260"/>
      <c r="E62" s="260"/>
      <c r="F62" s="261"/>
      <c r="G62" s="446"/>
    </row>
    <row r="63" spans="1:7" x14ac:dyDescent="0.2">
      <c r="A63" s="270"/>
      <c r="B63" s="271" t="s">
        <v>734</v>
      </c>
      <c r="C63" s="375">
        <v>64</v>
      </c>
      <c r="D63" s="260"/>
      <c r="E63" s="260"/>
      <c r="F63" s="261"/>
      <c r="G63" s="446"/>
    </row>
    <row r="64" spans="1:7" x14ac:dyDescent="0.2">
      <c r="A64" s="270"/>
      <c r="B64" s="272"/>
      <c r="C64" s="449"/>
      <c r="D64" s="260"/>
      <c r="E64" s="260"/>
      <c r="F64" s="261"/>
      <c r="G64" s="446"/>
    </row>
    <row r="65" spans="1:7" ht="38.25" x14ac:dyDescent="0.2">
      <c r="A65" s="262" t="s">
        <v>623</v>
      </c>
      <c r="B65" s="273" t="s">
        <v>735</v>
      </c>
      <c r="C65" s="274">
        <f>C66+C67</f>
        <v>95432</v>
      </c>
      <c r="D65" s="275"/>
      <c r="E65" s="275"/>
      <c r="F65" s="253"/>
      <c r="G65" s="444"/>
    </row>
    <row r="66" spans="1:7" x14ac:dyDescent="0.2">
      <c r="A66" s="270" t="s">
        <v>624</v>
      </c>
      <c r="B66" s="271" t="s">
        <v>736</v>
      </c>
      <c r="C66" s="372">
        <v>91220</v>
      </c>
      <c r="D66" s="260"/>
      <c r="E66" s="260"/>
      <c r="F66" s="261"/>
      <c r="G66" s="446"/>
    </row>
    <row r="67" spans="1:7" x14ac:dyDescent="0.2">
      <c r="A67" s="270" t="s">
        <v>625</v>
      </c>
      <c r="B67" s="271" t="s">
        <v>737</v>
      </c>
      <c r="C67" s="372">
        <v>4212</v>
      </c>
      <c r="D67" s="260"/>
      <c r="E67" s="260"/>
      <c r="F67" s="261"/>
      <c r="G67" s="446"/>
    </row>
    <row r="68" spans="1:7" x14ac:dyDescent="0.2">
      <c r="A68" s="270" t="s">
        <v>594</v>
      </c>
      <c r="B68" s="264" t="s">
        <v>592</v>
      </c>
      <c r="C68" s="370"/>
      <c r="D68" s="260"/>
      <c r="E68" s="260"/>
      <c r="F68" s="261"/>
      <c r="G68" s="446"/>
    </row>
    <row r="69" spans="1:7" x14ac:dyDescent="0.2">
      <c r="A69" s="262" t="s">
        <v>626</v>
      </c>
      <c r="B69" s="263" t="s">
        <v>373</v>
      </c>
      <c r="C69" s="369">
        <f>C70+C71+C72+C73+C74+C75+C76</f>
        <v>198927</v>
      </c>
      <c r="D69" s="275"/>
      <c r="E69" s="275"/>
      <c r="F69" s="253"/>
      <c r="G69" s="444"/>
    </row>
    <row r="70" spans="1:7" ht="25.5" x14ac:dyDescent="0.2">
      <c r="A70" s="276" t="s">
        <v>627</v>
      </c>
      <c r="B70" s="266" t="s">
        <v>717</v>
      </c>
      <c r="C70" s="372">
        <v>6258</v>
      </c>
      <c r="D70" s="277"/>
      <c r="E70" s="266"/>
      <c r="F70" s="518"/>
      <c r="G70" s="267"/>
    </row>
    <row r="71" spans="1:7" ht="25.5" x14ac:dyDescent="0.2">
      <c r="A71" s="276" t="s">
        <v>628</v>
      </c>
      <c r="B71" s="266" t="s">
        <v>718</v>
      </c>
      <c r="C71" s="372">
        <v>62924</v>
      </c>
      <c r="D71" s="277"/>
      <c r="E71" s="266"/>
      <c r="F71" s="518"/>
      <c r="G71" s="267"/>
    </row>
    <row r="72" spans="1:7" ht="25.5" x14ac:dyDescent="0.2">
      <c r="A72" s="276" t="s">
        <v>594</v>
      </c>
      <c r="B72" s="266" t="s">
        <v>719</v>
      </c>
      <c r="C72" s="372">
        <v>23039</v>
      </c>
      <c r="D72" s="277"/>
      <c r="E72" s="266"/>
      <c r="F72" s="518"/>
      <c r="G72" s="267"/>
    </row>
    <row r="73" spans="1:7" x14ac:dyDescent="0.2">
      <c r="A73" s="269"/>
      <c r="B73" s="266" t="s">
        <v>720</v>
      </c>
      <c r="C73" s="372">
        <v>66943</v>
      </c>
      <c r="D73" s="277"/>
      <c r="E73" s="266"/>
      <c r="F73" s="518"/>
      <c r="G73" s="267"/>
    </row>
    <row r="74" spans="1:7" x14ac:dyDescent="0.2">
      <c r="A74" s="269"/>
      <c r="B74" s="266" t="s">
        <v>721</v>
      </c>
      <c r="C74" s="372">
        <v>16756</v>
      </c>
      <c r="D74" s="277"/>
      <c r="E74" s="266"/>
      <c r="F74" s="518"/>
      <c r="G74" s="267"/>
    </row>
    <row r="75" spans="1:7" x14ac:dyDescent="0.2">
      <c r="A75" s="269"/>
      <c r="B75" s="266" t="s">
        <v>722</v>
      </c>
      <c r="C75" s="372">
        <v>9244</v>
      </c>
      <c r="D75" s="277"/>
      <c r="E75" s="266"/>
      <c r="F75" s="518"/>
      <c r="G75" s="267"/>
    </row>
    <row r="76" spans="1:7" x14ac:dyDescent="0.2">
      <c r="A76" s="254"/>
      <c r="B76" s="266" t="s">
        <v>723</v>
      </c>
      <c r="C76" s="556">
        <v>13763</v>
      </c>
      <c r="D76" s="260"/>
      <c r="E76" s="266"/>
      <c r="F76" s="518"/>
      <c r="G76" s="265"/>
    </row>
    <row r="77" spans="1:7" x14ac:dyDescent="0.2">
      <c r="A77" s="254"/>
      <c r="B77" s="272"/>
      <c r="C77" s="450"/>
      <c r="D77" s="260"/>
      <c r="E77" s="260"/>
      <c r="F77" s="261"/>
      <c r="G77" s="446"/>
    </row>
    <row r="78" spans="1:7" x14ac:dyDescent="0.2">
      <c r="A78" s="254"/>
      <c r="B78" s="264"/>
      <c r="C78" s="370"/>
      <c r="D78" s="260"/>
      <c r="E78" s="260"/>
      <c r="F78" s="261"/>
      <c r="G78" s="446"/>
    </row>
    <row r="79" spans="1:7" x14ac:dyDescent="0.2">
      <c r="A79" s="262" t="s">
        <v>629</v>
      </c>
      <c r="B79" s="250" t="s">
        <v>380</v>
      </c>
      <c r="C79" s="369">
        <f>C80+C81</f>
        <v>779562</v>
      </c>
      <c r="D79" s="252"/>
      <c r="E79" s="252"/>
      <c r="F79" s="253"/>
      <c r="G79" s="444"/>
    </row>
    <row r="80" spans="1:7" x14ac:dyDescent="0.2">
      <c r="A80" s="270" t="s">
        <v>630</v>
      </c>
      <c r="B80" s="271" t="s">
        <v>738</v>
      </c>
      <c r="C80" s="375">
        <v>165775</v>
      </c>
      <c r="D80" s="260"/>
      <c r="E80" s="260"/>
      <c r="F80" s="261"/>
      <c r="G80" s="446"/>
    </row>
    <row r="81" spans="1:7" ht="25.5" x14ac:dyDescent="0.2">
      <c r="A81" s="270" t="s">
        <v>631</v>
      </c>
      <c r="B81" s="271" t="s">
        <v>739</v>
      </c>
      <c r="C81" s="377">
        <v>613787</v>
      </c>
      <c r="D81" s="260"/>
      <c r="E81" s="260"/>
      <c r="F81" s="261"/>
      <c r="G81" s="446"/>
    </row>
    <row r="82" spans="1:7" x14ac:dyDescent="0.2">
      <c r="A82" s="254" t="s">
        <v>594</v>
      </c>
      <c r="B82" s="463" t="s">
        <v>592</v>
      </c>
      <c r="C82" s="370"/>
      <c r="D82" s="260"/>
      <c r="E82" s="260"/>
      <c r="F82" s="261"/>
      <c r="G82" s="446"/>
    </row>
    <row r="83" spans="1:7" x14ac:dyDescent="0.2">
      <c r="A83" s="254"/>
      <c r="B83" s="278" t="s">
        <v>401</v>
      </c>
      <c r="C83" s="554"/>
      <c r="D83" s="451"/>
      <c r="E83" s="451"/>
      <c r="F83" s="452"/>
      <c r="G83" s="453"/>
    </row>
    <row r="84" spans="1:7" s="176" customFormat="1" ht="51" x14ac:dyDescent="0.2">
      <c r="A84" s="279" t="s">
        <v>589</v>
      </c>
      <c r="B84" s="280" t="s">
        <v>762</v>
      </c>
      <c r="C84" s="281">
        <f>C85+C86+C87+C88+C89+C90</f>
        <v>789277</v>
      </c>
      <c r="D84" s="282"/>
      <c r="E84" s="282"/>
      <c r="F84" s="282"/>
      <c r="G84" s="455"/>
    </row>
    <row r="85" spans="1:7" s="176" customFormat="1" x14ac:dyDescent="0.2">
      <c r="A85" s="283" t="s">
        <v>635</v>
      </c>
      <c r="B85" s="439" t="s">
        <v>740</v>
      </c>
      <c r="C85" s="442">
        <v>540500</v>
      </c>
      <c r="D85" s="284"/>
      <c r="E85" s="284"/>
      <c r="F85" s="284"/>
      <c r="G85" s="456" t="s">
        <v>825</v>
      </c>
    </row>
    <row r="86" spans="1:7" s="176" customFormat="1" x14ac:dyDescent="0.2">
      <c r="A86" s="283" t="s">
        <v>590</v>
      </c>
      <c r="B86" s="439" t="s">
        <v>740</v>
      </c>
      <c r="C86" s="442">
        <v>87682</v>
      </c>
      <c r="D86" s="284">
        <v>75345</v>
      </c>
      <c r="E86" s="284"/>
      <c r="F86" s="284">
        <v>75345</v>
      </c>
      <c r="G86" s="456" t="s">
        <v>826</v>
      </c>
    </row>
    <row r="87" spans="1:7" s="176" customFormat="1" ht="25.5" x14ac:dyDescent="0.2">
      <c r="A87" s="283" t="s">
        <v>595</v>
      </c>
      <c r="B87" s="439" t="s">
        <v>741</v>
      </c>
      <c r="C87" s="442">
        <v>36780</v>
      </c>
      <c r="D87" s="510">
        <v>551</v>
      </c>
      <c r="E87" s="511">
        <v>551</v>
      </c>
      <c r="F87" s="284"/>
      <c r="G87" s="456" t="s">
        <v>827</v>
      </c>
    </row>
    <row r="88" spans="1:7" ht="25.5" x14ac:dyDescent="0.2">
      <c r="A88" s="283" t="s">
        <v>594</v>
      </c>
      <c r="B88" s="439" t="s">
        <v>742</v>
      </c>
      <c r="C88" s="442">
        <v>17505</v>
      </c>
      <c r="D88" s="510">
        <v>369</v>
      </c>
      <c r="E88" s="284"/>
      <c r="F88" s="512">
        <v>369</v>
      </c>
      <c r="G88" s="456" t="s">
        <v>827</v>
      </c>
    </row>
    <row r="89" spans="1:7" x14ac:dyDescent="0.2">
      <c r="A89" s="285"/>
      <c r="B89" s="516" t="s">
        <v>828</v>
      </c>
      <c r="C89" s="442">
        <v>5763</v>
      </c>
      <c r="D89" s="510"/>
      <c r="E89" s="284"/>
      <c r="F89" s="284"/>
      <c r="G89" s="456" t="s">
        <v>763</v>
      </c>
    </row>
    <row r="90" spans="1:7" x14ac:dyDescent="0.2">
      <c r="A90" s="285"/>
      <c r="B90" s="439" t="s">
        <v>829</v>
      </c>
      <c r="C90" s="442">
        <v>101047</v>
      </c>
      <c r="D90" s="284">
        <v>48522</v>
      </c>
      <c r="E90" s="284">
        <v>13224</v>
      </c>
      <c r="F90" s="284">
        <v>35298</v>
      </c>
      <c r="G90" s="456"/>
    </row>
    <row r="91" spans="1:7" x14ac:dyDescent="0.2">
      <c r="A91" s="285"/>
      <c r="B91" s="454"/>
      <c r="C91" s="378"/>
      <c r="D91" s="284"/>
      <c r="E91" s="284"/>
      <c r="F91" s="284"/>
      <c r="G91" s="456"/>
    </row>
    <row r="92" spans="1:7" s="176" customFormat="1" x14ac:dyDescent="0.2">
      <c r="A92" s="279" t="s">
        <v>607</v>
      </c>
      <c r="B92" s="280" t="s">
        <v>403</v>
      </c>
      <c r="C92" s="379"/>
      <c r="D92" s="282"/>
      <c r="E92" s="282"/>
      <c r="F92" s="282"/>
      <c r="G92" s="455"/>
    </row>
    <row r="93" spans="1:7" x14ac:dyDescent="0.2">
      <c r="A93" s="285" t="s">
        <v>608</v>
      </c>
      <c r="B93" s="286" t="s">
        <v>592</v>
      </c>
      <c r="C93" s="378"/>
      <c r="D93" s="284"/>
      <c r="E93" s="284"/>
      <c r="F93" s="284"/>
      <c r="G93" s="456"/>
    </row>
    <row r="94" spans="1:7" x14ac:dyDescent="0.2">
      <c r="A94" s="285" t="s">
        <v>611</v>
      </c>
      <c r="B94" s="286" t="s">
        <v>592</v>
      </c>
      <c r="C94" s="378"/>
      <c r="D94" s="284"/>
      <c r="E94" s="284"/>
      <c r="F94" s="284"/>
      <c r="G94" s="456"/>
    </row>
    <row r="95" spans="1:7" x14ac:dyDescent="0.2">
      <c r="A95" s="285" t="s">
        <v>594</v>
      </c>
      <c r="B95" s="286" t="s">
        <v>592</v>
      </c>
      <c r="C95" s="378"/>
      <c r="D95" s="284"/>
      <c r="E95" s="284"/>
      <c r="F95" s="284"/>
      <c r="G95" s="456"/>
    </row>
    <row r="96" spans="1:7" s="176" customFormat="1" x14ac:dyDescent="0.2">
      <c r="A96" s="279" t="s">
        <v>636</v>
      </c>
      <c r="B96" s="280" t="s">
        <v>404</v>
      </c>
      <c r="C96" s="281">
        <f>C97+C98</f>
        <v>10429</v>
      </c>
      <c r="D96" s="282"/>
      <c r="E96" s="282"/>
      <c r="F96" s="282"/>
      <c r="G96" s="457"/>
    </row>
    <row r="97" spans="1:7" s="440" customFormat="1" ht="25.5" x14ac:dyDescent="0.2">
      <c r="A97" s="441" t="s">
        <v>764</v>
      </c>
      <c r="B97" s="456" t="s">
        <v>765</v>
      </c>
      <c r="C97" s="442">
        <v>864</v>
      </c>
      <c r="D97" s="513"/>
      <c r="E97" s="513"/>
      <c r="F97" s="513"/>
      <c r="G97" s="456" t="s">
        <v>765</v>
      </c>
    </row>
    <row r="98" spans="1:7" s="440" customFormat="1" ht="25.5" x14ac:dyDescent="0.2">
      <c r="A98" s="441" t="s">
        <v>766</v>
      </c>
      <c r="B98" s="264" t="s">
        <v>767</v>
      </c>
      <c r="C98" s="442">
        <v>9565</v>
      </c>
      <c r="D98" s="513"/>
      <c r="E98" s="513"/>
      <c r="F98" s="513"/>
      <c r="G98" s="456" t="s">
        <v>768</v>
      </c>
    </row>
    <row r="99" spans="1:7" s="440" customFormat="1" x14ac:dyDescent="0.2">
      <c r="A99" s="438"/>
      <c r="B99" s="458"/>
      <c r="C99" s="459"/>
      <c r="D99" s="443"/>
      <c r="E99" s="443"/>
      <c r="F99" s="443"/>
      <c r="G99" s="460"/>
    </row>
    <row r="100" spans="1:7" s="440" customFormat="1" x14ac:dyDescent="0.2">
      <c r="A100" s="438"/>
      <c r="B100" s="458"/>
      <c r="C100" s="459"/>
      <c r="D100" s="443"/>
      <c r="E100" s="443"/>
      <c r="F100" s="443"/>
      <c r="G100" s="460"/>
    </row>
    <row r="101" spans="1:7" s="176" customFormat="1" ht="38.25" x14ac:dyDescent="0.2">
      <c r="A101" s="279" t="s">
        <v>637</v>
      </c>
      <c r="B101" s="280" t="s">
        <v>769</v>
      </c>
      <c r="C101" s="281">
        <f>C102+C103+C104+C105+C106+C107</f>
        <v>20580</v>
      </c>
      <c r="D101" s="282"/>
      <c r="E101" s="282"/>
      <c r="F101" s="282"/>
      <c r="G101" s="455"/>
    </row>
    <row r="102" spans="1:7" s="176" customFormat="1" x14ac:dyDescent="0.2">
      <c r="A102" s="283" t="s">
        <v>638</v>
      </c>
      <c r="B102" s="439" t="s">
        <v>743</v>
      </c>
      <c r="C102" s="442">
        <v>4308</v>
      </c>
      <c r="D102" s="443"/>
      <c r="E102" s="443"/>
      <c r="F102" s="513"/>
      <c r="G102" s="456" t="s">
        <v>830</v>
      </c>
    </row>
    <row r="103" spans="1:7" s="176" customFormat="1" ht="25.5" x14ac:dyDescent="0.2">
      <c r="A103" s="283" t="s">
        <v>639</v>
      </c>
      <c r="B103" s="439" t="s">
        <v>744</v>
      </c>
      <c r="C103" s="442">
        <v>7503</v>
      </c>
      <c r="D103" s="443"/>
      <c r="E103" s="443"/>
      <c r="F103" s="513"/>
      <c r="G103" s="456" t="s">
        <v>745</v>
      </c>
    </row>
    <row r="104" spans="1:7" s="176" customFormat="1" ht="25.5" x14ac:dyDescent="0.2">
      <c r="A104" s="283" t="s">
        <v>594</v>
      </c>
      <c r="B104" s="439" t="s">
        <v>770</v>
      </c>
      <c r="C104" s="442">
        <v>825</v>
      </c>
      <c r="D104" s="443"/>
      <c r="E104" s="443"/>
      <c r="F104" s="513"/>
      <c r="G104" s="515" t="s">
        <v>771</v>
      </c>
    </row>
    <row r="105" spans="1:7" ht="25.5" x14ac:dyDescent="0.2">
      <c r="A105" s="285"/>
      <c r="B105" s="439" t="s">
        <v>831</v>
      </c>
      <c r="C105" s="442">
        <v>3522</v>
      </c>
      <c r="D105" s="517"/>
      <c r="E105" s="517"/>
      <c r="F105" s="514"/>
      <c r="G105" s="515" t="s">
        <v>832</v>
      </c>
    </row>
    <row r="106" spans="1:7" ht="25.5" x14ac:dyDescent="0.2">
      <c r="A106" s="285"/>
      <c r="B106" s="439" t="s">
        <v>833</v>
      </c>
      <c r="C106" s="442">
        <v>2955</v>
      </c>
      <c r="D106" s="517"/>
      <c r="E106" s="517"/>
      <c r="F106" s="373"/>
      <c r="G106" s="515" t="s">
        <v>832</v>
      </c>
    </row>
    <row r="107" spans="1:7" x14ac:dyDescent="0.2">
      <c r="A107" s="285"/>
      <c r="B107" s="439" t="s">
        <v>834</v>
      </c>
      <c r="C107" s="442">
        <v>1467</v>
      </c>
      <c r="D107" s="517"/>
      <c r="E107" s="517"/>
      <c r="F107" s="378"/>
      <c r="G107" s="456"/>
    </row>
    <row r="108" spans="1:7" s="176" customFormat="1" ht="25.5" x14ac:dyDescent="0.2">
      <c r="A108" s="279" t="s">
        <v>640</v>
      </c>
      <c r="B108" s="280" t="s">
        <v>772</v>
      </c>
      <c r="C108" s="379"/>
      <c r="D108" s="282"/>
      <c r="E108" s="282"/>
      <c r="F108" s="282"/>
      <c r="G108" s="455"/>
    </row>
    <row r="109" spans="1:7" x14ac:dyDescent="0.2">
      <c r="A109" s="285" t="s">
        <v>641</v>
      </c>
      <c r="B109" s="286" t="s">
        <v>592</v>
      </c>
      <c r="C109" s="378"/>
      <c r="D109" s="284"/>
      <c r="E109" s="284"/>
      <c r="F109" s="284"/>
      <c r="G109" s="456"/>
    </row>
    <row r="110" spans="1:7" x14ac:dyDescent="0.2">
      <c r="A110" s="285" t="s">
        <v>642</v>
      </c>
      <c r="B110" s="286" t="s">
        <v>592</v>
      </c>
      <c r="C110" s="378"/>
      <c r="D110" s="284"/>
      <c r="E110" s="284"/>
      <c r="F110" s="284"/>
      <c r="G110" s="456"/>
    </row>
    <row r="111" spans="1:7" x14ac:dyDescent="0.2">
      <c r="A111" s="285" t="s">
        <v>594</v>
      </c>
      <c r="B111" s="286" t="s">
        <v>592</v>
      </c>
      <c r="C111" s="378"/>
      <c r="D111" s="284"/>
      <c r="E111" s="284"/>
      <c r="F111" s="284"/>
      <c r="G111" s="456"/>
    </row>
    <row r="112" spans="1:7" s="176" customFormat="1" x14ac:dyDescent="0.2">
      <c r="A112" s="177" t="s">
        <v>643</v>
      </c>
      <c r="B112" s="287" t="s">
        <v>632</v>
      </c>
      <c r="C112" s="555"/>
      <c r="D112" s="178"/>
      <c r="E112" s="178"/>
      <c r="F112" s="178"/>
      <c r="G112" s="4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6</vt:i4>
      </vt:variant>
    </vt:vector>
  </HeadingPairs>
  <TitlesOfParts>
    <vt:vector size="13" baseType="lpstr">
      <vt:lpstr>Budžeta_tāme</vt:lpstr>
      <vt:lpstr>PZ_aprēķins</vt:lpstr>
      <vt:lpstr>Bilance</vt:lpstr>
      <vt:lpstr>Naudas_plūsma</vt:lpstr>
      <vt:lpstr>Naturālie_rādītāji</vt:lpstr>
      <vt:lpstr>Ieguldījumu_tāme</vt:lpstr>
      <vt:lpstr>Kreditori_Debitori</vt:lpstr>
      <vt:lpstr>Budžeta_tāme!Drukas_apgabals</vt:lpstr>
      <vt:lpstr>Naturālie_rādītāji!Drukas_apgabals</vt:lpstr>
      <vt:lpstr>Naudas_plūsma!Drukas_apgabals</vt:lpstr>
      <vt:lpstr>Budžeta_tāme!Drukāt_virsrakstus</vt:lpstr>
      <vt:lpstr>Naturālie_rādītāji!Drukāt_virsrakstus</vt:lpstr>
      <vt:lpstr>Naudas_plūsma!Drukāt_virsrakstus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2021-02-02T16:59:06Z</cp:lastPrinted>
  <dcterms:created xsi:type="dcterms:W3CDTF">2015-06-08T06:33:04Z</dcterms:created>
  <dcterms:modified xsi:type="dcterms:W3CDTF">2021-02-05T11:07:59Z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