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Ieva.Klavina\AppData\Local\Microsoft\Windows\INetCache\Content.Outlook\HAOQ9J7C\"/>
    </mc:Choice>
  </mc:AlternateContent>
  <xr:revisionPtr revIDLastSave="0" documentId="13_ncr:1_{900B6651-ED52-4D0D-96AF-2299AD9F25E4}" xr6:coauthVersionLast="47" xr6:coauthVersionMax="47" xr10:uidLastSave="{00000000-0000-0000-0000-000000000000}"/>
  <bookViews>
    <workbookView xWindow="-120" yWindow="-120" windowWidth="29040" windowHeight="15720" xr2:uid="{00000000-000D-0000-FFFF-FFFF00000000}"/>
  </bookViews>
  <sheets>
    <sheet name="Budžeta tāme" sheetId="2" r:id="rId1"/>
    <sheet name="PZ Aprēķins" sheetId="12" r:id="rId2"/>
    <sheet name="Bilance" sheetId="11" r:id="rId3"/>
    <sheet name="Naudas plūsma" sheetId="5" r:id="rId4"/>
    <sheet name="Naturālie rādītāji" sheetId="10" r:id="rId5"/>
    <sheet name="Ieguldījumu tāme" sheetId="9" r:id="rId6"/>
    <sheet name="Kreditori, Debitori" sheetId="13" r:id="rId7"/>
  </sheets>
  <externalReferences>
    <externalReference r:id="rId8"/>
  </externalReferences>
  <definedNames>
    <definedName name="dff">#NAME?</definedName>
    <definedName name="_xlnm.Print_Area" localSheetId="2">Bilance!$A$1:$I$87</definedName>
    <definedName name="_xlnm.Print_Area" localSheetId="4">'Naturālie rādītāji'!#REF!</definedName>
    <definedName name="_xlnm.Print_Titles" localSheetId="4">'Naturālie rādītāji'!#REF!</definedName>
    <definedName name="hh" localSheetId="4">#REF!</definedName>
    <definedName name="hh">#REF!</definedName>
    <definedName name="izm.kods" localSheetId="4">#REF!</definedName>
    <definedName name="izm.kods">#REF!</definedName>
    <definedName name="izm.kods_1">[1]izm.posteni!$A$2:$A$216</definedName>
    <definedName name="izm.nos">#REF!</definedName>
    <definedName name="izm.nos_1">[1]izm.posteni!$B$2:$B$216</definedName>
    <definedName name="S5\">#REF!</definedName>
    <definedName name="Str.">#REF!</definedName>
    <definedName name="Str.vien.nos.">#REF!</definedName>
    <definedName name="Struktura">#REF!</definedName>
    <definedName name="Struktūrvien.kodi2">#REF!</definedName>
    <definedName name="Struktūrvien.kodi2_1">[1]strukturkodi!$B$2:$B$232</definedName>
    <definedName name="Struktūrvien.kods">#REF!</definedName>
    <definedName name="Struktūrvien.kods_1">[1]strukturkodi!$A$2:$A$232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E18" i="10"/>
  <c r="J18" i="10"/>
  <c r="D18" i="10"/>
  <c r="O18" i="10"/>
  <c r="O19" i="10"/>
  <c r="J19" i="10"/>
  <c r="E19" i="10"/>
  <c r="D19" i="10"/>
  <c r="T67" i="11" l="1"/>
  <c r="T75" i="11"/>
  <c r="O12" i="11"/>
  <c r="O27" i="11"/>
  <c r="J13" i="11"/>
  <c r="J74" i="11"/>
  <c r="E74" i="11"/>
  <c r="E37" i="11"/>
  <c r="E67" i="11"/>
  <c r="T49" i="5"/>
  <c r="T52" i="5" s="1"/>
  <c r="O52" i="5"/>
  <c r="O49" i="5"/>
  <c r="J52" i="5"/>
  <c r="J49" i="5"/>
  <c r="E52" i="5"/>
  <c r="E49" i="5"/>
  <c r="T18" i="5"/>
  <c r="O18" i="5"/>
  <c r="J18" i="5"/>
  <c r="E18" i="5"/>
  <c r="D44" i="5"/>
  <c r="D36" i="5"/>
  <c r="V34" i="5"/>
  <c r="E6" i="5"/>
  <c r="E5" i="5" s="1"/>
  <c r="G79" i="10" l="1"/>
  <c r="G84" i="10"/>
  <c r="T77" i="11"/>
  <c r="J67" i="11"/>
  <c r="T14" i="11"/>
  <c r="J14" i="11"/>
  <c r="E13" i="11"/>
  <c r="T12" i="11"/>
  <c r="J12" i="11"/>
  <c r="C172" i="2"/>
  <c r="C164" i="2"/>
  <c r="C170" i="2"/>
  <c r="C163" i="2"/>
  <c r="C154" i="2"/>
  <c r="C162" i="2"/>
  <c r="H19" i="12"/>
  <c r="H18" i="12"/>
  <c r="H16" i="12"/>
  <c r="H14" i="12"/>
  <c r="H13" i="12"/>
  <c r="H11" i="12"/>
  <c r="H10" i="12"/>
  <c r="H6" i="12"/>
  <c r="G19" i="12"/>
  <c r="G18" i="12"/>
  <c r="G16" i="12"/>
  <c r="G14" i="12"/>
  <c r="G13" i="12"/>
  <c r="G12" i="12"/>
  <c r="H12" i="12" s="1"/>
  <c r="G11" i="12"/>
  <c r="G10" i="12"/>
  <c r="G9" i="12"/>
  <c r="H9" i="12" s="1"/>
  <c r="G8" i="12"/>
  <c r="H8" i="12" s="1"/>
  <c r="G7" i="12"/>
  <c r="H7" i="12" s="1"/>
  <c r="G6" i="12"/>
  <c r="G4" i="12"/>
  <c r="H4" i="12" s="1"/>
  <c r="G3" i="12"/>
  <c r="H3" i="12" s="1"/>
  <c r="F5" i="12"/>
  <c r="F15" i="12" s="1"/>
  <c r="F17" i="12" s="1"/>
  <c r="F20" i="12" s="1"/>
  <c r="T38" i="9"/>
  <c r="K33" i="9"/>
  <c r="D29" i="5"/>
  <c r="T6" i="5"/>
  <c r="O6" i="5"/>
  <c r="Q6" i="5" s="1"/>
  <c r="R6" i="5" s="1"/>
  <c r="J6" i="5"/>
  <c r="J5" i="5" s="1"/>
  <c r="D32" i="5"/>
  <c r="T32" i="5"/>
  <c r="O32" i="5"/>
  <c r="J32" i="5"/>
  <c r="V18" i="5"/>
  <c r="W18" i="5" s="1"/>
  <c r="V54" i="5"/>
  <c r="W54" i="5" s="1"/>
  <c r="V53" i="5"/>
  <c r="W53" i="5" s="1"/>
  <c r="V52" i="5"/>
  <c r="W52" i="5" s="1"/>
  <c r="V51" i="5"/>
  <c r="W51" i="5" s="1"/>
  <c r="V50" i="5"/>
  <c r="W50" i="5" s="1"/>
  <c r="V49" i="5"/>
  <c r="W49" i="5" s="1"/>
  <c r="V48" i="5"/>
  <c r="W48" i="5" s="1"/>
  <c r="V46" i="5"/>
  <c r="W46" i="5" s="1"/>
  <c r="V45" i="5"/>
  <c r="W45" i="5" s="1"/>
  <c r="V43" i="5"/>
  <c r="W43" i="5" s="1"/>
  <c r="V42" i="5"/>
  <c r="W42" i="5" s="1"/>
  <c r="V41" i="5"/>
  <c r="W41" i="5" s="1"/>
  <c r="T40" i="5"/>
  <c r="V40" i="5" s="1"/>
  <c r="W40" i="5" s="1"/>
  <c r="V39" i="5"/>
  <c r="W39" i="5" s="1"/>
  <c r="V38" i="5"/>
  <c r="W38" i="5" s="1"/>
  <c r="V37" i="5"/>
  <c r="W37" i="5" s="1"/>
  <c r="T36" i="5"/>
  <c r="T44" i="5" s="1"/>
  <c r="V44" i="5" s="1"/>
  <c r="W44" i="5" s="1"/>
  <c r="W35" i="5"/>
  <c r="U34" i="5"/>
  <c r="W33" i="5"/>
  <c r="V33" i="5"/>
  <c r="V32" i="5"/>
  <c r="W32" i="5" s="1"/>
  <c r="V31" i="5"/>
  <c r="W31" i="5" s="1"/>
  <c r="V30" i="5"/>
  <c r="W30" i="5" s="1"/>
  <c r="X29" i="5"/>
  <c r="T29" i="5"/>
  <c r="T27" i="5" s="1"/>
  <c r="V28" i="5"/>
  <c r="X27" i="5"/>
  <c r="X34" i="5" s="1"/>
  <c r="U27" i="5"/>
  <c r="V26" i="5"/>
  <c r="W26" i="5" s="1"/>
  <c r="V25" i="5"/>
  <c r="W25" i="5" s="1"/>
  <c r="V24" i="5"/>
  <c r="W24" i="5" s="1"/>
  <c r="V23" i="5"/>
  <c r="W23" i="5" s="1"/>
  <c r="V22" i="5"/>
  <c r="W22" i="5" s="1"/>
  <c r="V21" i="5"/>
  <c r="T21" i="5"/>
  <c r="W20" i="5"/>
  <c r="V17" i="5"/>
  <c r="W17" i="5" s="1"/>
  <c r="U16" i="5"/>
  <c r="V15" i="5"/>
  <c r="W15" i="5" s="1"/>
  <c r="V14" i="5"/>
  <c r="W14" i="5" s="1"/>
  <c r="V13" i="5"/>
  <c r="W13" i="5" s="1"/>
  <c r="V12" i="5"/>
  <c r="W12" i="5" s="1"/>
  <c r="V11" i="5"/>
  <c r="W11" i="5" s="1"/>
  <c r="V10" i="5"/>
  <c r="W10" i="5" s="1"/>
  <c r="V9" i="5"/>
  <c r="W9" i="5" s="1"/>
  <c r="V8" i="5"/>
  <c r="W8" i="5" s="1"/>
  <c r="U5" i="5"/>
  <c r="V3" i="5"/>
  <c r="W3" i="5" s="1"/>
  <c r="Q54" i="5"/>
  <c r="R54" i="5" s="1"/>
  <c r="Q53" i="5"/>
  <c r="R53" i="5" s="1"/>
  <c r="Q52" i="5"/>
  <c r="R52" i="5" s="1"/>
  <c r="Q51" i="5"/>
  <c r="R51" i="5" s="1"/>
  <c r="Q50" i="5"/>
  <c r="R50" i="5" s="1"/>
  <c r="Q49" i="5"/>
  <c r="R49" i="5" s="1"/>
  <c r="Q48" i="5"/>
  <c r="R48" i="5" s="1"/>
  <c r="Q46" i="5"/>
  <c r="R46" i="5" s="1"/>
  <c r="Q45" i="5"/>
  <c r="R45" i="5" s="1"/>
  <c r="Q43" i="5"/>
  <c r="R43" i="5" s="1"/>
  <c r="Q42" i="5"/>
  <c r="R42" i="5" s="1"/>
  <c r="Q41" i="5"/>
  <c r="R41" i="5" s="1"/>
  <c r="O40" i="5"/>
  <c r="Q40" i="5" s="1"/>
  <c r="R40" i="5" s="1"/>
  <c r="Q39" i="5"/>
  <c r="R39" i="5" s="1"/>
  <c r="Q38" i="5"/>
  <c r="R38" i="5" s="1"/>
  <c r="Q37" i="5"/>
  <c r="R37" i="5" s="1"/>
  <c r="O36" i="5"/>
  <c r="O44" i="5" s="1"/>
  <c r="Q44" i="5" s="1"/>
  <c r="R44" i="5" s="1"/>
  <c r="R35" i="5"/>
  <c r="P34" i="5"/>
  <c r="Q33" i="5"/>
  <c r="R33" i="5" s="1"/>
  <c r="Q32" i="5"/>
  <c r="R32" i="5" s="1"/>
  <c r="Q31" i="5"/>
  <c r="R31" i="5" s="1"/>
  <c r="Q30" i="5"/>
  <c r="R30" i="5" s="1"/>
  <c r="S29" i="5"/>
  <c r="Q29" i="5"/>
  <c r="O29" i="5"/>
  <c r="O27" i="5" s="1"/>
  <c r="Q28" i="5"/>
  <c r="Q27" i="5" s="1"/>
  <c r="S27" i="5"/>
  <c r="S34" i="5" s="1"/>
  <c r="P27" i="5"/>
  <c r="Q26" i="5"/>
  <c r="R26" i="5" s="1"/>
  <c r="Q25" i="5"/>
  <c r="R25" i="5" s="1"/>
  <c r="Q24" i="5"/>
  <c r="R24" i="5" s="1"/>
  <c r="Q23" i="5"/>
  <c r="R23" i="5" s="1"/>
  <c r="Q22" i="5"/>
  <c r="R22" i="5" s="1"/>
  <c r="Q21" i="5"/>
  <c r="O21" i="5"/>
  <c r="R20" i="5"/>
  <c r="Q18" i="5"/>
  <c r="R18" i="5" s="1"/>
  <c r="Q17" i="5"/>
  <c r="R17" i="5" s="1"/>
  <c r="P16" i="5"/>
  <c r="O16" i="5"/>
  <c r="Q15" i="5"/>
  <c r="R15" i="5" s="1"/>
  <c r="Q14" i="5"/>
  <c r="R14" i="5" s="1"/>
  <c r="Q13" i="5"/>
  <c r="R13" i="5" s="1"/>
  <c r="Q12" i="5"/>
  <c r="R12" i="5" s="1"/>
  <c r="Q11" i="5"/>
  <c r="R11" i="5" s="1"/>
  <c r="Q10" i="5"/>
  <c r="R10" i="5" s="1"/>
  <c r="Q9" i="5"/>
  <c r="R9" i="5" s="1"/>
  <c r="Q8" i="5"/>
  <c r="R8" i="5" s="1"/>
  <c r="Q7" i="5"/>
  <c r="R7" i="5" s="1"/>
  <c r="P5" i="5"/>
  <c r="Q3" i="5"/>
  <c r="R3" i="5" s="1"/>
  <c r="L54" i="5"/>
  <c r="M54" i="5" s="1"/>
  <c r="M53" i="5"/>
  <c r="L53" i="5"/>
  <c r="L51" i="5"/>
  <c r="M51" i="5" s="1"/>
  <c r="L50" i="5"/>
  <c r="M50" i="5" s="1"/>
  <c r="L49" i="5"/>
  <c r="M49" i="5" s="1"/>
  <c r="L48" i="5"/>
  <c r="M48" i="5" s="1"/>
  <c r="M46" i="5"/>
  <c r="L46" i="5"/>
  <c r="L45" i="5"/>
  <c r="M45" i="5" s="1"/>
  <c r="L43" i="5"/>
  <c r="M43" i="5" s="1"/>
  <c r="L42" i="5"/>
  <c r="M42" i="5" s="1"/>
  <c r="L41" i="5"/>
  <c r="M41" i="5" s="1"/>
  <c r="J40" i="5"/>
  <c r="L40" i="5" s="1"/>
  <c r="M40" i="5" s="1"/>
  <c r="M39" i="5"/>
  <c r="L39" i="5"/>
  <c r="L38" i="5"/>
  <c r="M38" i="5" s="1"/>
  <c r="L37" i="5"/>
  <c r="M37" i="5" s="1"/>
  <c r="J36" i="5"/>
  <c r="L36" i="5" s="1"/>
  <c r="M36" i="5" s="1"/>
  <c r="M35" i="5"/>
  <c r="K34" i="5"/>
  <c r="L33" i="5"/>
  <c r="M33" i="5" s="1"/>
  <c r="L32" i="5"/>
  <c r="M32" i="5" s="1"/>
  <c r="L31" i="5"/>
  <c r="M31" i="5" s="1"/>
  <c r="L30" i="5"/>
  <c r="M30" i="5" s="1"/>
  <c r="N29" i="5"/>
  <c r="J29" i="5"/>
  <c r="J27" i="5" s="1"/>
  <c r="L28" i="5"/>
  <c r="N27" i="5"/>
  <c r="N34" i="5" s="1"/>
  <c r="K27" i="5"/>
  <c r="L26" i="5"/>
  <c r="M26" i="5" s="1"/>
  <c r="L25" i="5"/>
  <c r="M25" i="5" s="1"/>
  <c r="L24" i="5"/>
  <c r="M24" i="5" s="1"/>
  <c r="L23" i="5"/>
  <c r="M23" i="5" s="1"/>
  <c r="L22" i="5"/>
  <c r="M22" i="5" s="1"/>
  <c r="L21" i="5"/>
  <c r="J21" i="5"/>
  <c r="M20" i="5"/>
  <c r="L18" i="5"/>
  <c r="M18" i="5" s="1"/>
  <c r="L17" i="5"/>
  <c r="M17" i="5" s="1"/>
  <c r="K16" i="5"/>
  <c r="J16" i="5"/>
  <c r="L15" i="5"/>
  <c r="M15" i="5" s="1"/>
  <c r="L14" i="5"/>
  <c r="M14" i="5" s="1"/>
  <c r="L13" i="5"/>
  <c r="M13" i="5" s="1"/>
  <c r="L12" i="5"/>
  <c r="M12" i="5" s="1"/>
  <c r="L11" i="5"/>
  <c r="M11" i="5" s="1"/>
  <c r="L10" i="5"/>
  <c r="M10" i="5" s="1"/>
  <c r="L9" i="5"/>
  <c r="M9" i="5" s="1"/>
  <c r="L8" i="5"/>
  <c r="M8" i="5" s="1"/>
  <c r="L7" i="5"/>
  <c r="M7" i="5" s="1"/>
  <c r="K5" i="5"/>
  <c r="L3" i="5"/>
  <c r="M3" i="5" s="1"/>
  <c r="C5" i="5"/>
  <c r="C52" i="5"/>
  <c r="C40" i="5"/>
  <c r="C36" i="5"/>
  <c r="C44" i="5" s="1"/>
  <c r="C31" i="5"/>
  <c r="C29" i="5"/>
  <c r="C27" i="5"/>
  <c r="C21" i="5"/>
  <c r="C34" i="5" s="1"/>
  <c r="C17" i="5"/>
  <c r="C18" i="5" s="1"/>
  <c r="C16" i="5" s="1"/>
  <c r="C12" i="5"/>
  <c r="C9" i="5"/>
  <c r="C6" i="5" s="1"/>
  <c r="C19" i="5" s="1"/>
  <c r="C47" i="5" s="1"/>
  <c r="J19" i="5" l="1"/>
  <c r="L6" i="5"/>
  <c r="M6" i="5" s="1"/>
  <c r="R27" i="5"/>
  <c r="L29" i="5"/>
  <c r="L27" i="5" s="1"/>
  <c r="V29" i="5"/>
  <c r="W29" i="5" s="1"/>
  <c r="V27" i="5"/>
  <c r="W27" i="5" s="1"/>
  <c r="R29" i="5"/>
  <c r="M29" i="5"/>
  <c r="T16" i="5"/>
  <c r="V16" i="5" s="1"/>
  <c r="W16" i="5" s="1"/>
  <c r="Q16" i="5"/>
  <c r="R16" i="5" s="1"/>
  <c r="L16" i="5"/>
  <c r="M16" i="5" s="1"/>
  <c r="O5" i="5"/>
  <c r="O19" i="5" s="1"/>
  <c r="L5" i="5"/>
  <c r="M5" i="5" s="1"/>
  <c r="T34" i="5"/>
  <c r="V36" i="5"/>
  <c r="W36" i="5" s="1"/>
  <c r="U19" i="5"/>
  <c r="W21" i="5"/>
  <c r="W28" i="5"/>
  <c r="O34" i="5"/>
  <c r="Q34" i="5"/>
  <c r="R21" i="5"/>
  <c r="R28" i="5"/>
  <c r="Q36" i="5"/>
  <c r="R36" i="5" s="1"/>
  <c r="P19" i="5"/>
  <c r="J34" i="5"/>
  <c r="M21" i="5"/>
  <c r="J44" i="5"/>
  <c r="L44" i="5" s="1"/>
  <c r="M44" i="5" s="1"/>
  <c r="K19" i="5"/>
  <c r="M28" i="5"/>
  <c r="R34" i="5" l="1"/>
  <c r="M27" i="5"/>
  <c r="L34" i="5"/>
  <c r="M34" i="5" s="1"/>
  <c r="O47" i="5"/>
  <c r="J47" i="5"/>
  <c r="L52" i="5" s="1"/>
  <c r="M52" i="5" s="1"/>
  <c r="Q5" i="5"/>
  <c r="R5" i="5" s="1"/>
  <c r="U47" i="5"/>
  <c r="W34" i="5"/>
  <c r="P47" i="5"/>
  <c r="Q19" i="5"/>
  <c r="R19" i="5" s="1"/>
  <c r="K47" i="5"/>
  <c r="L19" i="5"/>
  <c r="M19" i="5" s="1"/>
  <c r="L47" i="5" l="1"/>
  <c r="M47" i="5" s="1"/>
  <c r="Q47" i="5"/>
  <c r="R47" i="5" s="1"/>
  <c r="C38" i="2" l="1"/>
  <c r="X63" i="2"/>
  <c r="X60" i="2"/>
  <c r="N63" i="2"/>
  <c r="N60" i="2"/>
  <c r="K180" i="2"/>
  <c r="K164" i="2"/>
  <c r="K154" i="2"/>
  <c r="K146" i="2"/>
  <c r="K140" i="2"/>
  <c r="K130" i="2"/>
  <c r="K129" i="2"/>
  <c r="K119" i="2"/>
  <c r="K114" i="2"/>
  <c r="K109" i="2"/>
  <c r="K104" i="2"/>
  <c r="K96" i="2"/>
  <c r="K90" i="2"/>
  <c r="K82" i="2"/>
  <c r="K74" i="2"/>
  <c r="K68" i="2"/>
  <c r="K66" i="2"/>
  <c r="K63" i="2"/>
  <c r="K60" i="2"/>
  <c r="K59" i="2" s="1"/>
  <c r="K52" i="2"/>
  <c r="K50" i="2" s="1"/>
  <c r="K39" i="2"/>
  <c r="K35" i="2"/>
  <c r="K34" i="2" s="1"/>
  <c r="K33" i="2" s="1"/>
  <c r="K22" i="2"/>
  <c r="K19" i="2"/>
  <c r="K16" i="2"/>
  <c r="K13" i="2"/>
  <c r="K10" i="2"/>
  <c r="K4" i="2" s="1"/>
  <c r="K5" i="2"/>
  <c r="F35" i="2"/>
  <c r="F83" i="13"/>
  <c r="E83" i="13"/>
  <c r="D83" i="13"/>
  <c r="C83" i="13"/>
  <c r="K29" i="9"/>
  <c r="F60" i="2"/>
  <c r="L25" i="2"/>
  <c r="M25" i="2" s="1"/>
  <c r="L72" i="10"/>
  <c r="L7" i="10"/>
  <c r="L60" i="10"/>
  <c r="L59" i="10"/>
  <c r="L4" i="2" l="1"/>
  <c r="K3" i="2"/>
  <c r="K103" i="2"/>
  <c r="K17" i="9"/>
  <c r="K58" i="2"/>
  <c r="K32" i="2" s="1"/>
  <c r="K144" i="2" s="1"/>
  <c r="K163" i="2"/>
  <c r="G72" i="10"/>
  <c r="G60" i="10"/>
  <c r="G59" i="10"/>
  <c r="H59" i="10"/>
  <c r="F104" i="2"/>
  <c r="C97" i="13"/>
  <c r="F46" i="13"/>
  <c r="C62" i="13"/>
  <c r="K172" i="2" l="1"/>
  <c r="K145" i="2"/>
  <c r="K153" i="2" s="1"/>
  <c r="K173" i="2" s="1"/>
  <c r="F16" i="2"/>
  <c r="H20" i="5"/>
  <c r="H21" i="5"/>
  <c r="H22" i="5"/>
  <c r="H23" i="5"/>
  <c r="H24" i="5"/>
  <c r="H25" i="5"/>
  <c r="H26" i="5"/>
  <c r="H28" i="5"/>
  <c r="F16" i="5"/>
  <c r="F5" i="5" l="1"/>
  <c r="L61" i="2"/>
  <c r="M61" i="2" s="1"/>
  <c r="L62" i="2"/>
  <c r="M62" i="2" s="1"/>
  <c r="L64" i="2"/>
  <c r="M64" i="2" s="1"/>
  <c r="L65" i="2"/>
  <c r="M65" i="2" s="1"/>
  <c r="V91" i="10" l="1"/>
  <c r="W91" i="10" s="1"/>
  <c r="V89" i="10"/>
  <c r="W89" i="10" s="1"/>
  <c r="Q89" i="10"/>
  <c r="R89" i="10" s="1"/>
  <c r="L89" i="10"/>
  <c r="M89" i="10" s="1"/>
  <c r="G89" i="10"/>
  <c r="H89" i="10" s="1"/>
  <c r="V88" i="10"/>
  <c r="W88" i="10" s="1"/>
  <c r="Q88" i="10"/>
  <c r="R88" i="10" s="1"/>
  <c r="L88" i="10"/>
  <c r="M88" i="10" s="1"/>
  <c r="G88" i="10"/>
  <c r="H88" i="10" s="1"/>
  <c r="V87" i="10"/>
  <c r="W87" i="10" s="1"/>
  <c r="Q87" i="10"/>
  <c r="R87" i="10" s="1"/>
  <c r="L87" i="10"/>
  <c r="M87" i="10" s="1"/>
  <c r="G87" i="10"/>
  <c r="H87" i="10" s="1"/>
  <c r="V86" i="10"/>
  <c r="W86" i="10" s="1"/>
  <c r="Q86" i="10"/>
  <c r="R86" i="10" s="1"/>
  <c r="L86" i="10"/>
  <c r="M86" i="10" s="1"/>
  <c r="G86" i="10"/>
  <c r="H86" i="10" s="1"/>
  <c r="V85" i="10"/>
  <c r="W85" i="10" s="1"/>
  <c r="Q85" i="10"/>
  <c r="R85" i="10" s="1"/>
  <c r="L85" i="10"/>
  <c r="M85" i="10" s="1"/>
  <c r="H85" i="10"/>
  <c r="V84" i="10"/>
  <c r="W84" i="10" s="1"/>
  <c r="Q84" i="10"/>
  <c r="R84" i="10" s="1"/>
  <c r="L84" i="10"/>
  <c r="M84" i="10" s="1"/>
  <c r="H84" i="10"/>
  <c r="V82" i="10"/>
  <c r="W82" i="10" s="1"/>
  <c r="Q82" i="10"/>
  <c r="R82" i="10" s="1"/>
  <c r="L82" i="10"/>
  <c r="M82" i="10" s="1"/>
  <c r="G82" i="10"/>
  <c r="H82" i="10" s="1"/>
  <c r="V81" i="10"/>
  <c r="W81" i="10" s="1"/>
  <c r="Q81" i="10"/>
  <c r="R81" i="10" s="1"/>
  <c r="L81" i="10"/>
  <c r="M81" i="10" s="1"/>
  <c r="G81" i="10"/>
  <c r="H81" i="10" s="1"/>
  <c r="V80" i="10"/>
  <c r="W80" i="10" s="1"/>
  <c r="Q80" i="10"/>
  <c r="R80" i="10" s="1"/>
  <c r="L80" i="10"/>
  <c r="M80" i="10" s="1"/>
  <c r="G80" i="10"/>
  <c r="H80" i="10" s="1"/>
  <c r="V79" i="10"/>
  <c r="W79" i="10" s="1"/>
  <c r="Q79" i="10"/>
  <c r="R79" i="10" s="1"/>
  <c r="L79" i="10"/>
  <c r="M79" i="10" s="1"/>
  <c r="H79" i="10"/>
  <c r="V77" i="10"/>
  <c r="W77" i="10" s="1"/>
  <c r="Q77" i="10"/>
  <c r="R77" i="10" s="1"/>
  <c r="L77" i="10"/>
  <c r="M77" i="10" s="1"/>
  <c r="G77" i="10"/>
  <c r="H77" i="10" s="1"/>
  <c r="V76" i="10"/>
  <c r="W76" i="10" s="1"/>
  <c r="Q76" i="10"/>
  <c r="R76" i="10" s="1"/>
  <c r="L76" i="10"/>
  <c r="M76" i="10" s="1"/>
  <c r="G76" i="10"/>
  <c r="H76" i="10" s="1"/>
  <c r="V75" i="10"/>
  <c r="W75" i="10" s="1"/>
  <c r="Q75" i="10"/>
  <c r="R75" i="10" s="1"/>
  <c r="L75" i="10"/>
  <c r="M75" i="10" s="1"/>
  <c r="G75" i="10"/>
  <c r="H75" i="10" s="1"/>
  <c r="V74" i="10"/>
  <c r="W74" i="10" s="1"/>
  <c r="Q74" i="10"/>
  <c r="R74" i="10" s="1"/>
  <c r="L74" i="10"/>
  <c r="M74" i="10" s="1"/>
  <c r="G74" i="10"/>
  <c r="H74" i="10" s="1"/>
  <c r="V73" i="10"/>
  <c r="W73" i="10" s="1"/>
  <c r="Q73" i="10"/>
  <c r="R73" i="10" s="1"/>
  <c r="L73" i="10"/>
  <c r="M73" i="10" s="1"/>
  <c r="G73" i="10"/>
  <c r="H73" i="10" s="1"/>
  <c r="V72" i="10"/>
  <c r="W72" i="10" s="1"/>
  <c r="Q72" i="10"/>
  <c r="R72" i="10" s="1"/>
  <c r="M72" i="10"/>
  <c r="H72" i="10"/>
  <c r="V71" i="10"/>
  <c r="W71" i="10" s="1"/>
  <c r="Q71" i="10"/>
  <c r="R71" i="10" s="1"/>
  <c r="L71" i="10"/>
  <c r="M71" i="10" s="1"/>
  <c r="G71" i="10"/>
  <c r="H71" i="10" s="1"/>
  <c r="V70" i="10"/>
  <c r="W70" i="10" s="1"/>
  <c r="Q70" i="10"/>
  <c r="R70" i="10" s="1"/>
  <c r="L70" i="10"/>
  <c r="M70" i="10" s="1"/>
  <c r="G70" i="10"/>
  <c r="H70" i="10" s="1"/>
  <c r="V69" i="10"/>
  <c r="W69" i="10" s="1"/>
  <c r="Q69" i="10"/>
  <c r="R69" i="10" s="1"/>
  <c r="L69" i="10"/>
  <c r="M69" i="10" s="1"/>
  <c r="G69" i="10"/>
  <c r="H69" i="10" s="1"/>
  <c r="V68" i="10"/>
  <c r="W68" i="10" s="1"/>
  <c r="Q68" i="10"/>
  <c r="R68" i="10" s="1"/>
  <c r="L68" i="10"/>
  <c r="M68" i="10" s="1"/>
  <c r="G68" i="10"/>
  <c r="H68" i="10" s="1"/>
  <c r="V67" i="10"/>
  <c r="W67" i="10" s="1"/>
  <c r="Q67" i="10"/>
  <c r="R67" i="10" s="1"/>
  <c r="L67" i="10"/>
  <c r="M67" i="10" s="1"/>
  <c r="G67" i="10"/>
  <c r="H67" i="10" s="1"/>
  <c r="V66" i="10"/>
  <c r="W66" i="10" s="1"/>
  <c r="Q66" i="10"/>
  <c r="R66" i="10" s="1"/>
  <c r="L66" i="10"/>
  <c r="M66" i="10" s="1"/>
  <c r="G66" i="10"/>
  <c r="H66" i="10" s="1"/>
  <c r="V65" i="10"/>
  <c r="W65" i="10" s="1"/>
  <c r="Q65" i="10"/>
  <c r="R65" i="10" s="1"/>
  <c r="L65" i="10"/>
  <c r="M65" i="10" s="1"/>
  <c r="G65" i="10"/>
  <c r="H65" i="10" s="1"/>
  <c r="V64" i="10"/>
  <c r="W64" i="10" s="1"/>
  <c r="Q64" i="10"/>
  <c r="R64" i="10" s="1"/>
  <c r="L64" i="10"/>
  <c r="M64" i="10" s="1"/>
  <c r="G64" i="10"/>
  <c r="H64" i="10" s="1"/>
  <c r="V63" i="10"/>
  <c r="W63" i="10" s="1"/>
  <c r="Q63" i="10"/>
  <c r="R63" i="10" s="1"/>
  <c r="L63" i="10"/>
  <c r="M63" i="10" s="1"/>
  <c r="G63" i="10"/>
  <c r="H63" i="10" s="1"/>
  <c r="V62" i="10"/>
  <c r="W62" i="10" s="1"/>
  <c r="Q62" i="10"/>
  <c r="R62" i="10" s="1"/>
  <c r="L62" i="10"/>
  <c r="M62" i="10" s="1"/>
  <c r="G62" i="10"/>
  <c r="H62" i="10" s="1"/>
  <c r="V61" i="10"/>
  <c r="W61" i="10" s="1"/>
  <c r="Q61" i="10"/>
  <c r="R61" i="10" s="1"/>
  <c r="L61" i="10"/>
  <c r="M61" i="10" s="1"/>
  <c r="G61" i="10"/>
  <c r="H61" i="10" s="1"/>
  <c r="V60" i="10"/>
  <c r="W60" i="10" s="1"/>
  <c r="Q60" i="10"/>
  <c r="R60" i="10" s="1"/>
  <c r="M60" i="10"/>
  <c r="H60" i="10"/>
  <c r="V59" i="10"/>
  <c r="W59" i="10" s="1"/>
  <c r="Q59" i="10"/>
  <c r="R59" i="10" s="1"/>
  <c r="M59" i="10"/>
  <c r="V58" i="10"/>
  <c r="W58" i="10" s="1"/>
  <c r="Q58" i="10"/>
  <c r="R58" i="10" s="1"/>
  <c r="L58" i="10"/>
  <c r="M58" i="10" s="1"/>
  <c r="G58" i="10"/>
  <c r="H58" i="10" s="1"/>
  <c r="V57" i="10"/>
  <c r="W57" i="10" s="1"/>
  <c r="Q57" i="10"/>
  <c r="R57" i="10" s="1"/>
  <c r="L57" i="10"/>
  <c r="M57" i="10" s="1"/>
  <c r="G57" i="10"/>
  <c r="H57" i="10" s="1"/>
  <c r="V56" i="10"/>
  <c r="W56" i="10" s="1"/>
  <c r="Q56" i="10"/>
  <c r="R56" i="10" s="1"/>
  <c r="L56" i="10"/>
  <c r="M56" i="10" s="1"/>
  <c r="G56" i="10"/>
  <c r="H56" i="10" s="1"/>
  <c r="V55" i="10"/>
  <c r="W55" i="10" s="1"/>
  <c r="Q55" i="10"/>
  <c r="R55" i="10" s="1"/>
  <c r="L55" i="10"/>
  <c r="M55" i="10" s="1"/>
  <c r="G55" i="10"/>
  <c r="H55" i="10" s="1"/>
  <c r="V54" i="10"/>
  <c r="W54" i="10" s="1"/>
  <c r="Q54" i="10"/>
  <c r="R54" i="10" s="1"/>
  <c r="L54" i="10"/>
  <c r="M54" i="10" s="1"/>
  <c r="G54" i="10"/>
  <c r="H54" i="10" s="1"/>
  <c r="V52" i="10"/>
  <c r="W52" i="10" s="1"/>
  <c r="Q52" i="10"/>
  <c r="R52" i="10" s="1"/>
  <c r="L52" i="10"/>
  <c r="M52" i="10" s="1"/>
  <c r="G52" i="10"/>
  <c r="H52" i="10" s="1"/>
  <c r="V51" i="10"/>
  <c r="W51" i="10" s="1"/>
  <c r="Q51" i="10"/>
  <c r="R51" i="10" s="1"/>
  <c r="L51" i="10"/>
  <c r="M51" i="10" s="1"/>
  <c r="G51" i="10"/>
  <c r="H51" i="10" s="1"/>
  <c r="V50" i="10"/>
  <c r="W50" i="10" s="1"/>
  <c r="Q50" i="10"/>
  <c r="R50" i="10" s="1"/>
  <c r="L50" i="10"/>
  <c r="M50" i="10" s="1"/>
  <c r="G50" i="10"/>
  <c r="H50" i="10" s="1"/>
  <c r="V49" i="10"/>
  <c r="W49" i="10" s="1"/>
  <c r="R49" i="10"/>
  <c r="Q49" i="10"/>
  <c r="L49" i="10"/>
  <c r="M49" i="10" s="1"/>
  <c r="G49" i="10"/>
  <c r="H49" i="10" s="1"/>
  <c r="V48" i="10"/>
  <c r="W48" i="10" s="1"/>
  <c r="Q48" i="10"/>
  <c r="R48" i="10" s="1"/>
  <c r="L48" i="10"/>
  <c r="M48" i="10" s="1"/>
  <c r="G48" i="10"/>
  <c r="H48" i="10" s="1"/>
  <c r="V46" i="10"/>
  <c r="W46" i="10" s="1"/>
  <c r="Q46" i="10"/>
  <c r="R46" i="10" s="1"/>
  <c r="L46" i="10"/>
  <c r="M46" i="10" s="1"/>
  <c r="G46" i="10"/>
  <c r="H46" i="10" s="1"/>
  <c r="V45" i="10"/>
  <c r="W45" i="10" s="1"/>
  <c r="Q45" i="10"/>
  <c r="R45" i="10" s="1"/>
  <c r="L45" i="10"/>
  <c r="M45" i="10" s="1"/>
  <c r="G45" i="10"/>
  <c r="H45" i="10" s="1"/>
  <c r="V44" i="10"/>
  <c r="W44" i="10" s="1"/>
  <c r="Q44" i="10"/>
  <c r="R44" i="10" s="1"/>
  <c r="L44" i="10"/>
  <c r="M44" i="10" s="1"/>
  <c r="H44" i="10"/>
  <c r="G44" i="10"/>
  <c r="V43" i="10"/>
  <c r="W43" i="10" s="1"/>
  <c r="Q43" i="10"/>
  <c r="R43" i="10" s="1"/>
  <c r="L43" i="10"/>
  <c r="M43" i="10" s="1"/>
  <c r="G43" i="10"/>
  <c r="H43" i="10" s="1"/>
  <c r="V42" i="10"/>
  <c r="W42" i="10" s="1"/>
  <c r="Q42" i="10"/>
  <c r="R42" i="10" s="1"/>
  <c r="L42" i="10"/>
  <c r="M42" i="10" s="1"/>
  <c r="G42" i="10"/>
  <c r="H42" i="10" s="1"/>
  <c r="V40" i="10"/>
  <c r="W40" i="10" s="1"/>
  <c r="Q40" i="10"/>
  <c r="R40" i="10" s="1"/>
  <c r="L40" i="10"/>
  <c r="M40" i="10" s="1"/>
  <c r="G40" i="10"/>
  <c r="H40" i="10" s="1"/>
  <c r="V39" i="10"/>
  <c r="W39" i="10" s="1"/>
  <c r="Q39" i="10"/>
  <c r="R39" i="10" s="1"/>
  <c r="L39" i="10"/>
  <c r="M39" i="10" s="1"/>
  <c r="G39" i="10"/>
  <c r="H39" i="10" s="1"/>
  <c r="V38" i="10"/>
  <c r="W38" i="10" s="1"/>
  <c r="Q38" i="10"/>
  <c r="R38" i="10" s="1"/>
  <c r="L38" i="10"/>
  <c r="M38" i="10" s="1"/>
  <c r="G38" i="10"/>
  <c r="H38" i="10" s="1"/>
  <c r="V37" i="10"/>
  <c r="W37" i="10" s="1"/>
  <c r="Q37" i="10"/>
  <c r="R37" i="10" s="1"/>
  <c r="L37" i="10"/>
  <c r="M37" i="10" s="1"/>
  <c r="G37" i="10"/>
  <c r="H37" i="10" s="1"/>
  <c r="V36" i="10"/>
  <c r="W36" i="10" s="1"/>
  <c r="Q36" i="10"/>
  <c r="R36" i="10" s="1"/>
  <c r="L36" i="10"/>
  <c r="M36" i="10" s="1"/>
  <c r="G36" i="10"/>
  <c r="H36" i="10" s="1"/>
  <c r="V35" i="10"/>
  <c r="W35" i="10" s="1"/>
  <c r="Q35" i="10"/>
  <c r="R35" i="10" s="1"/>
  <c r="L35" i="10"/>
  <c r="M35" i="10" s="1"/>
  <c r="G35" i="10"/>
  <c r="H35" i="10" s="1"/>
  <c r="V34" i="10"/>
  <c r="W34" i="10" s="1"/>
  <c r="Q34" i="10"/>
  <c r="R34" i="10" s="1"/>
  <c r="L34" i="10"/>
  <c r="M34" i="10" s="1"/>
  <c r="G34" i="10"/>
  <c r="H34" i="10" s="1"/>
  <c r="V33" i="10"/>
  <c r="W33" i="10" s="1"/>
  <c r="Q33" i="10"/>
  <c r="R33" i="10" s="1"/>
  <c r="L33" i="10"/>
  <c r="M33" i="10" s="1"/>
  <c r="G33" i="10"/>
  <c r="H33" i="10" s="1"/>
  <c r="V32" i="10"/>
  <c r="W32" i="10" s="1"/>
  <c r="Q32" i="10"/>
  <c r="R32" i="10" s="1"/>
  <c r="L32" i="10"/>
  <c r="M32" i="10" s="1"/>
  <c r="G32" i="10"/>
  <c r="H32" i="10" s="1"/>
  <c r="V30" i="10"/>
  <c r="W30" i="10" s="1"/>
  <c r="Q30" i="10"/>
  <c r="R30" i="10" s="1"/>
  <c r="L30" i="10"/>
  <c r="M30" i="10" s="1"/>
  <c r="G30" i="10"/>
  <c r="H30" i="10" s="1"/>
  <c r="V29" i="10"/>
  <c r="W29" i="10" s="1"/>
  <c r="Q29" i="10"/>
  <c r="R29" i="10" s="1"/>
  <c r="L29" i="10"/>
  <c r="M29" i="10" s="1"/>
  <c r="G29" i="10"/>
  <c r="H29" i="10" s="1"/>
  <c r="V28" i="10"/>
  <c r="W28" i="10" s="1"/>
  <c r="Q28" i="10"/>
  <c r="R28" i="10" s="1"/>
  <c r="L28" i="10"/>
  <c r="M28" i="10" s="1"/>
  <c r="G28" i="10"/>
  <c r="H28" i="10" s="1"/>
  <c r="V27" i="10"/>
  <c r="W27" i="10" s="1"/>
  <c r="Q27" i="10"/>
  <c r="R27" i="10" s="1"/>
  <c r="L27" i="10"/>
  <c r="M27" i="10" s="1"/>
  <c r="G27" i="10"/>
  <c r="H27" i="10" s="1"/>
  <c r="V26" i="10"/>
  <c r="W26" i="10" s="1"/>
  <c r="Q26" i="10"/>
  <c r="R26" i="10" s="1"/>
  <c r="L26" i="10"/>
  <c r="M26" i="10" s="1"/>
  <c r="G26" i="10"/>
  <c r="H26" i="10" s="1"/>
  <c r="V25" i="10"/>
  <c r="W25" i="10" s="1"/>
  <c r="Q25" i="10"/>
  <c r="R25" i="10" s="1"/>
  <c r="L25" i="10"/>
  <c r="M25" i="10" s="1"/>
  <c r="G25" i="10"/>
  <c r="H25" i="10" s="1"/>
  <c r="V24" i="10"/>
  <c r="W24" i="10" s="1"/>
  <c r="Q24" i="10"/>
  <c r="R24" i="10" s="1"/>
  <c r="L24" i="10"/>
  <c r="M24" i="10" s="1"/>
  <c r="G24" i="10"/>
  <c r="H24" i="10" s="1"/>
  <c r="V23" i="10"/>
  <c r="W23" i="10" s="1"/>
  <c r="Q23" i="10"/>
  <c r="R23" i="10" s="1"/>
  <c r="L23" i="10"/>
  <c r="M23" i="10" s="1"/>
  <c r="G23" i="10"/>
  <c r="H23" i="10" s="1"/>
  <c r="V22" i="10"/>
  <c r="W22" i="10" s="1"/>
  <c r="Q22" i="10"/>
  <c r="R22" i="10" s="1"/>
  <c r="L22" i="10"/>
  <c r="M22" i="10" s="1"/>
  <c r="G22" i="10"/>
  <c r="H22" i="10" s="1"/>
  <c r="V21" i="10"/>
  <c r="W21" i="10" s="1"/>
  <c r="Q21" i="10"/>
  <c r="R21" i="10" s="1"/>
  <c r="L21" i="10"/>
  <c r="M21" i="10" s="1"/>
  <c r="G21" i="10"/>
  <c r="H21" i="10" s="1"/>
  <c r="V20" i="10"/>
  <c r="W20" i="10" s="1"/>
  <c r="Q20" i="10"/>
  <c r="R20" i="10" s="1"/>
  <c r="L20" i="10"/>
  <c r="M20" i="10" s="1"/>
  <c r="G20" i="10"/>
  <c r="H20" i="10" s="1"/>
  <c r="V19" i="10"/>
  <c r="W19" i="10" s="1"/>
  <c r="V18" i="10"/>
  <c r="W18" i="10" s="1"/>
  <c r="V17" i="10"/>
  <c r="W17" i="10" s="1"/>
  <c r="Q17" i="10"/>
  <c r="R17" i="10" s="1"/>
  <c r="L17" i="10"/>
  <c r="M17" i="10" s="1"/>
  <c r="G17" i="10"/>
  <c r="H17" i="10" s="1"/>
  <c r="V16" i="10"/>
  <c r="W16" i="10" s="1"/>
  <c r="Q16" i="10"/>
  <c r="R16" i="10" s="1"/>
  <c r="L16" i="10"/>
  <c r="M16" i="10" s="1"/>
  <c r="G16" i="10"/>
  <c r="H16" i="10" s="1"/>
  <c r="V14" i="10"/>
  <c r="W14" i="10" s="1"/>
  <c r="Q14" i="10"/>
  <c r="R14" i="10" s="1"/>
  <c r="L14" i="10"/>
  <c r="M14" i="10" s="1"/>
  <c r="G14" i="10"/>
  <c r="H14" i="10" s="1"/>
  <c r="V13" i="10"/>
  <c r="W13" i="10" s="1"/>
  <c r="Q13" i="10"/>
  <c r="R13" i="10" s="1"/>
  <c r="L13" i="10"/>
  <c r="M13" i="10" s="1"/>
  <c r="G13" i="10"/>
  <c r="H13" i="10" s="1"/>
  <c r="V12" i="10"/>
  <c r="W12" i="10" s="1"/>
  <c r="Q12" i="10"/>
  <c r="R12" i="10" s="1"/>
  <c r="L12" i="10"/>
  <c r="M12" i="10" s="1"/>
  <c r="G12" i="10"/>
  <c r="H12" i="10" s="1"/>
  <c r="V11" i="10"/>
  <c r="W11" i="10" s="1"/>
  <c r="Q11" i="10"/>
  <c r="R11" i="10" s="1"/>
  <c r="L11" i="10"/>
  <c r="M11" i="10" s="1"/>
  <c r="G11" i="10"/>
  <c r="H11" i="10" s="1"/>
  <c r="V10" i="10"/>
  <c r="W10" i="10" s="1"/>
  <c r="Q10" i="10"/>
  <c r="R10" i="10" s="1"/>
  <c r="L10" i="10"/>
  <c r="M10" i="10" s="1"/>
  <c r="G10" i="10"/>
  <c r="H10" i="10" s="1"/>
  <c r="V9" i="10"/>
  <c r="W9" i="10" s="1"/>
  <c r="Q9" i="10"/>
  <c r="R9" i="10" s="1"/>
  <c r="L9" i="10"/>
  <c r="M9" i="10" s="1"/>
  <c r="G9" i="10"/>
  <c r="H9" i="10" s="1"/>
  <c r="V8" i="10"/>
  <c r="W8" i="10" s="1"/>
  <c r="Q8" i="10"/>
  <c r="R8" i="10" s="1"/>
  <c r="L8" i="10"/>
  <c r="M8" i="10" s="1"/>
  <c r="G8" i="10"/>
  <c r="H8" i="10" s="1"/>
  <c r="V7" i="10"/>
  <c r="W7" i="10" s="1"/>
  <c r="Q7" i="10"/>
  <c r="R7" i="10" s="1"/>
  <c r="M7" i="10"/>
  <c r="G7" i="10"/>
  <c r="H7" i="10" s="1"/>
  <c r="V6" i="10"/>
  <c r="W6" i="10" s="1"/>
  <c r="Q6" i="10"/>
  <c r="R6" i="10" s="1"/>
  <c r="L6" i="10"/>
  <c r="M6" i="10" s="1"/>
  <c r="G6" i="10"/>
  <c r="H6" i="10" s="1"/>
  <c r="V5" i="10"/>
  <c r="W5" i="10" s="1"/>
  <c r="Q5" i="10"/>
  <c r="R5" i="10" s="1"/>
  <c r="L5" i="10"/>
  <c r="M5" i="10" s="1"/>
  <c r="G5" i="10"/>
  <c r="H5" i="10" s="1"/>
  <c r="D27" i="5"/>
  <c r="D34" i="5" s="1"/>
  <c r="E29" i="5"/>
  <c r="E27" i="5" s="1"/>
  <c r="E34" i="5" s="1"/>
  <c r="F27" i="5"/>
  <c r="F34" i="5" s="1"/>
  <c r="I29" i="5"/>
  <c r="I27" i="5" s="1"/>
  <c r="I34" i="5" s="1"/>
  <c r="K16" i="9"/>
  <c r="F16" i="9"/>
  <c r="C38" i="9"/>
  <c r="F19" i="5" l="1"/>
  <c r="F47" i="5" s="1"/>
  <c r="E16" i="5"/>
  <c r="S63" i="2" l="1"/>
  <c r="S60" i="2"/>
  <c r="U164" i="2"/>
  <c r="U154" i="2"/>
  <c r="U146" i="2"/>
  <c r="U140" i="2"/>
  <c r="U130" i="2"/>
  <c r="U129" i="2" s="1"/>
  <c r="U119" i="2"/>
  <c r="U114" i="2"/>
  <c r="U109" i="2"/>
  <c r="U104" i="2"/>
  <c r="U103" i="2"/>
  <c r="U96" i="2"/>
  <c r="U90" i="2"/>
  <c r="U82" i="2"/>
  <c r="U66" i="2" s="1"/>
  <c r="U74" i="2"/>
  <c r="U68" i="2"/>
  <c r="U63" i="2"/>
  <c r="U60" i="2"/>
  <c r="U59" i="2" s="1"/>
  <c r="U52" i="2"/>
  <c r="U50" i="2"/>
  <c r="U39" i="2"/>
  <c r="U35" i="2"/>
  <c r="U34" i="2"/>
  <c r="U33" i="2" s="1"/>
  <c r="U22" i="2"/>
  <c r="U19" i="2"/>
  <c r="U16" i="2"/>
  <c r="U13" i="2"/>
  <c r="U10" i="2"/>
  <c r="U4" i="2" s="1"/>
  <c r="U5" i="2"/>
  <c r="P164" i="2"/>
  <c r="P154" i="2"/>
  <c r="P146" i="2"/>
  <c r="P140" i="2"/>
  <c r="P130" i="2"/>
  <c r="P129" i="2"/>
  <c r="P119" i="2"/>
  <c r="P114" i="2"/>
  <c r="P109" i="2"/>
  <c r="P104" i="2"/>
  <c r="P103" i="2"/>
  <c r="P96" i="2"/>
  <c r="P90" i="2"/>
  <c r="P82" i="2"/>
  <c r="P66" i="2" s="1"/>
  <c r="P74" i="2"/>
  <c r="P68" i="2"/>
  <c r="P63" i="2"/>
  <c r="P60" i="2"/>
  <c r="P59" i="2" s="1"/>
  <c r="P52" i="2"/>
  <c r="P50" i="2"/>
  <c r="P39" i="2"/>
  <c r="P35" i="2"/>
  <c r="P34" i="2"/>
  <c r="P33" i="2"/>
  <c r="P22" i="2"/>
  <c r="P19" i="2"/>
  <c r="P16" i="2"/>
  <c r="P13" i="2"/>
  <c r="P10" i="2"/>
  <c r="P4" i="2" s="1"/>
  <c r="P3" i="2" s="1"/>
  <c r="P5" i="2"/>
  <c r="L63" i="2"/>
  <c r="M63" i="2" s="1"/>
  <c r="U58" i="2" l="1"/>
  <c r="U32" i="2" s="1"/>
  <c r="U144" i="2" s="1"/>
  <c r="U172" i="2" s="1"/>
  <c r="U3" i="2"/>
  <c r="P58" i="2"/>
  <c r="P32" i="2" s="1"/>
  <c r="P144" i="2" s="1"/>
  <c r="P172" i="2" s="1"/>
  <c r="L60" i="2"/>
  <c r="M60" i="2" s="1"/>
  <c r="U163" i="2"/>
  <c r="U145" i="2"/>
  <c r="U153" i="2" s="1"/>
  <c r="U173" i="2" s="1"/>
  <c r="P163" i="2"/>
  <c r="P145" i="2"/>
  <c r="P153" i="2" s="1"/>
  <c r="P173" i="2" s="1"/>
  <c r="L59" i="2" l="1"/>
  <c r="M59" i="2" s="1"/>
  <c r="C102" i="13"/>
  <c r="C77" i="13"/>
  <c r="C67" i="13"/>
  <c r="C55" i="13"/>
  <c r="E46" i="13"/>
  <c r="D46" i="13"/>
  <c r="C46" i="13"/>
  <c r="C36" i="13"/>
  <c r="C23" i="13"/>
  <c r="C13" i="13"/>
  <c r="V37" i="9"/>
  <c r="W37" i="9" s="1"/>
  <c r="Q37" i="9"/>
  <c r="R37" i="9" s="1"/>
  <c r="L37" i="9"/>
  <c r="M37" i="9" s="1"/>
  <c r="G37" i="9"/>
  <c r="H37" i="9" s="1"/>
  <c r="V36" i="9"/>
  <c r="W36" i="9" s="1"/>
  <c r="Q36" i="9"/>
  <c r="R36" i="9" s="1"/>
  <c r="L36" i="9"/>
  <c r="M36" i="9" s="1"/>
  <c r="G36" i="9"/>
  <c r="H36" i="9" s="1"/>
  <c r="Q33" i="9"/>
  <c r="R33" i="9" s="1"/>
  <c r="L33" i="9"/>
  <c r="M33" i="9" s="1"/>
  <c r="G33" i="9"/>
  <c r="H33" i="9" s="1"/>
  <c r="V29" i="9"/>
  <c r="W29" i="9" s="1"/>
  <c r="Q29" i="9"/>
  <c r="R29" i="9" s="1"/>
  <c r="G29" i="9"/>
  <c r="H29" i="9" s="1"/>
  <c r="V28" i="9"/>
  <c r="W28" i="9" s="1"/>
  <c r="Q28" i="9"/>
  <c r="R28" i="9" s="1"/>
  <c r="L28" i="9"/>
  <c r="M28" i="9" s="1"/>
  <c r="G28" i="9"/>
  <c r="H28" i="9" s="1"/>
  <c r="U27" i="9"/>
  <c r="V27" i="9" s="1"/>
  <c r="W27" i="9" s="1"/>
  <c r="Q27" i="9"/>
  <c r="R27" i="9" s="1"/>
  <c r="L27" i="9"/>
  <c r="M27" i="9" s="1"/>
  <c r="G27" i="9"/>
  <c r="H27" i="9" s="1"/>
  <c r="Q18" i="9"/>
  <c r="R18" i="9" s="1"/>
  <c r="Q17" i="9"/>
  <c r="R17" i="9" s="1"/>
  <c r="P16" i="9"/>
  <c r="V15" i="9"/>
  <c r="W15" i="9" s="1"/>
  <c r="Q15" i="9"/>
  <c r="R15" i="9" s="1"/>
  <c r="L15" i="9"/>
  <c r="M15" i="9" s="1"/>
  <c r="G15" i="9"/>
  <c r="H15" i="9" s="1"/>
  <c r="V14" i="9"/>
  <c r="W14" i="9" s="1"/>
  <c r="Q14" i="9"/>
  <c r="R14" i="9" s="1"/>
  <c r="L14" i="9"/>
  <c r="M14" i="9" s="1"/>
  <c r="G14" i="9"/>
  <c r="H14" i="9" s="1"/>
  <c r="V13" i="9"/>
  <c r="W13" i="9" s="1"/>
  <c r="Q13" i="9"/>
  <c r="R13" i="9" s="1"/>
  <c r="L13" i="9"/>
  <c r="M13" i="9" s="1"/>
  <c r="G13" i="9"/>
  <c r="H13" i="9" s="1"/>
  <c r="V12" i="9"/>
  <c r="W12" i="9" s="1"/>
  <c r="Q12" i="9"/>
  <c r="R12" i="9" s="1"/>
  <c r="L12" i="9"/>
  <c r="M12" i="9" s="1"/>
  <c r="G12" i="9"/>
  <c r="H12" i="9" s="1"/>
  <c r="V11" i="9"/>
  <c r="W11" i="9" s="1"/>
  <c r="Q11" i="9"/>
  <c r="R11" i="9" s="1"/>
  <c r="L11" i="9"/>
  <c r="M11" i="9" s="1"/>
  <c r="G11" i="9"/>
  <c r="H11" i="9" s="1"/>
  <c r="V10" i="9"/>
  <c r="W10" i="9" s="1"/>
  <c r="Q10" i="9"/>
  <c r="R10" i="9" s="1"/>
  <c r="K10" i="9"/>
  <c r="L10" i="9" s="1"/>
  <c r="M10" i="9" s="1"/>
  <c r="G10" i="9"/>
  <c r="H10" i="9" s="1"/>
  <c r="V9" i="9"/>
  <c r="W9" i="9" s="1"/>
  <c r="Q9" i="9"/>
  <c r="R9" i="9" s="1"/>
  <c r="K9" i="9"/>
  <c r="L9" i="9" s="1"/>
  <c r="M9" i="9" s="1"/>
  <c r="G9" i="9"/>
  <c r="H9" i="9" s="1"/>
  <c r="U8" i="9"/>
  <c r="P8" i="9"/>
  <c r="F8" i="9"/>
  <c r="E8" i="9"/>
  <c r="V7" i="9"/>
  <c r="W7" i="9" s="1"/>
  <c r="Q7" i="9"/>
  <c r="R7" i="9" s="1"/>
  <c r="L7" i="9"/>
  <c r="M7" i="9" s="1"/>
  <c r="G7" i="9"/>
  <c r="H7" i="9" s="1"/>
  <c r="V6" i="9"/>
  <c r="W6" i="9" s="1"/>
  <c r="Q6" i="9"/>
  <c r="R6" i="9" s="1"/>
  <c r="L6" i="9"/>
  <c r="M6" i="9" s="1"/>
  <c r="G6" i="9"/>
  <c r="H6" i="9" s="1"/>
  <c r="V5" i="9"/>
  <c r="W5" i="9" s="1"/>
  <c r="Q5" i="9"/>
  <c r="R5" i="9" s="1"/>
  <c r="L5" i="9"/>
  <c r="M5" i="9" s="1"/>
  <c r="G5" i="9"/>
  <c r="H5" i="9" s="1"/>
  <c r="V4" i="9"/>
  <c r="W4" i="9" s="1"/>
  <c r="Q4" i="9"/>
  <c r="R4" i="9" s="1"/>
  <c r="L4" i="9"/>
  <c r="M4" i="9" s="1"/>
  <c r="G4" i="9"/>
  <c r="H4" i="9" s="1"/>
  <c r="U3" i="9"/>
  <c r="T3" i="9"/>
  <c r="P3" i="9"/>
  <c r="O3" i="9"/>
  <c r="K3" i="9"/>
  <c r="J3" i="9"/>
  <c r="F3" i="9"/>
  <c r="E3" i="9"/>
  <c r="D3" i="9"/>
  <c r="G54" i="5"/>
  <c r="H54" i="5" s="1"/>
  <c r="G53" i="5"/>
  <c r="H53" i="5" s="1"/>
  <c r="G52" i="5"/>
  <c r="H52" i="5" s="1"/>
  <c r="G51" i="5"/>
  <c r="H51" i="5" s="1"/>
  <c r="G50" i="5"/>
  <c r="H50" i="5" s="1"/>
  <c r="G49" i="5"/>
  <c r="H49" i="5" s="1"/>
  <c r="H48" i="5"/>
  <c r="G48" i="5"/>
  <c r="G46" i="5"/>
  <c r="H46" i="5" s="1"/>
  <c r="G45" i="5"/>
  <c r="H45" i="5" s="1"/>
  <c r="G43" i="5"/>
  <c r="H43" i="5" s="1"/>
  <c r="G42" i="5"/>
  <c r="H42" i="5" s="1"/>
  <c r="G41" i="5"/>
  <c r="H41" i="5" s="1"/>
  <c r="E40" i="5"/>
  <c r="G40" i="5" s="1"/>
  <c r="H40" i="5" s="1"/>
  <c r="D40" i="5"/>
  <c r="G39" i="5"/>
  <c r="H39" i="5" s="1"/>
  <c r="G38" i="5"/>
  <c r="H38" i="5" s="1"/>
  <c r="G37" i="5"/>
  <c r="H37" i="5" s="1"/>
  <c r="E36" i="5"/>
  <c r="E44" i="5" s="1"/>
  <c r="G44" i="5" s="1"/>
  <c r="H44" i="5" s="1"/>
  <c r="H35" i="5"/>
  <c r="G33" i="5"/>
  <c r="H33" i="5" s="1"/>
  <c r="G32" i="5"/>
  <c r="H32" i="5" s="1"/>
  <c r="G31" i="5"/>
  <c r="G30" i="5"/>
  <c r="H30" i="5" s="1"/>
  <c r="G28" i="5"/>
  <c r="G26" i="5"/>
  <c r="G25" i="5"/>
  <c r="G24" i="5"/>
  <c r="G23" i="5"/>
  <c r="G22" i="5"/>
  <c r="E21" i="5"/>
  <c r="G21" i="5" s="1"/>
  <c r="D21" i="5"/>
  <c r="G18" i="5"/>
  <c r="H18" i="5" s="1"/>
  <c r="G17" i="5"/>
  <c r="H17" i="5" s="1"/>
  <c r="G16" i="5"/>
  <c r="H16" i="5" s="1"/>
  <c r="G15" i="5"/>
  <c r="H15" i="5" s="1"/>
  <c r="G14" i="5"/>
  <c r="H14" i="5" s="1"/>
  <c r="G13" i="5"/>
  <c r="H13" i="5" s="1"/>
  <c r="G12" i="5"/>
  <c r="H12" i="5" s="1"/>
  <c r="G11" i="5"/>
  <c r="H11" i="5" s="1"/>
  <c r="G10" i="5"/>
  <c r="H10" i="5" s="1"/>
  <c r="G9" i="5"/>
  <c r="H9" i="5" s="1"/>
  <c r="G8" i="5"/>
  <c r="H8" i="5" s="1"/>
  <c r="G7" i="5"/>
  <c r="H7" i="5" s="1"/>
  <c r="G6" i="5"/>
  <c r="H6" i="5" s="1"/>
  <c r="G3" i="5"/>
  <c r="H3" i="5" s="1"/>
  <c r="V79" i="11"/>
  <c r="W79" i="11" s="1"/>
  <c r="Q79" i="11"/>
  <c r="R79" i="11" s="1"/>
  <c r="L79" i="11"/>
  <c r="M79" i="11" s="1"/>
  <c r="G79" i="11"/>
  <c r="H79" i="11" s="1"/>
  <c r="V78" i="11"/>
  <c r="W78" i="11" s="1"/>
  <c r="Q78" i="11"/>
  <c r="R78" i="11" s="1"/>
  <c r="L78" i="11"/>
  <c r="M78" i="11" s="1"/>
  <c r="G78" i="11"/>
  <c r="H78" i="11" s="1"/>
  <c r="V77" i="11"/>
  <c r="W77" i="11" s="1"/>
  <c r="Q77" i="11"/>
  <c r="R77" i="11" s="1"/>
  <c r="L77" i="11"/>
  <c r="M77" i="11" s="1"/>
  <c r="G77" i="11"/>
  <c r="H77" i="11" s="1"/>
  <c r="V76" i="11"/>
  <c r="W76" i="11" s="1"/>
  <c r="Q76" i="11"/>
  <c r="R76" i="11" s="1"/>
  <c r="L76" i="11"/>
  <c r="M76" i="11" s="1"/>
  <c r="G76" i="11"/>
  <c r="H76" i="11" s="1"/>
  <c r="V75" i="11"/>
  <c r="W75" i="11" s="1"/>
  <c r="Q75" i="11"/>
  <c r="R75" i="11" s="1"/>
  <c r="L75" i="11"/>
  <c r="M75" i="11" s="1"/>
  <c r="G75" i="11"/>
  <c r="H75" i="11" s="1"/>
  <c r="V74" i="11"/>
  <c r="W74" i="11" s="1"/>
  <c r="Q74" i="11"/>
  <c r="R74" i="11" s="1"/>
  <c r="L74" i="11"/>
  <c r="M74" i="11" s="1"/>
  <c r="J70" i="11"/>
  <c r="E70" i="11"/>
  <c r="E84" i="11" s="1"/>
  <c r="V73" i="11"/>
  <c r="W73" i="11" s="1"/>
  <c r="Q73" i="11"/>
  <c r="R73" i="11" s="1"/>
  <c r="L73" i="11"/>
  <c r="M73" i="11" s="1"/>
  <c r="G73" i="11"/>
  <c r="H73" i="11" s="1"/>
  <c r="V72" i="11"/>
  <c r="W72" i="11" s="1"/>
  <c r="Q72" i="11"/>
  <c r="R72" i="11" s="1"/>
  <c r="L72" i="11"/>
  <c r="M72" i="11" s="1"/>
  <c r="G72" i="11"/>
  <c r="H72" i="11" s="1"/>
  <c r="V71" i="11"/>
  <c r="W71" i="11" s="1"/>
  <c r="Q71" i="11"/>
  <c r="R71" i="11" s="1"/>
  <c r="L71" i="11"/>
  <c r="M71" i="11" s="1"/>
  <c r="G71" i="11"/>
  <c r="H71" i="11" s="1"/>
  <c r="T70" i="11"/>
  <c r="T84" i="11" s="1"/>
  <c r="P70" i="11"/>
  <c r="P84" i="11" s="1"/>
  <c r="O70" i="11"/>
  <c r="O84" i="11" s="1"/>
  <c r="F70" i="11"/>
  <c r="F84" i="11" s="1"/>
  <c r="D70" i="11"/>
  <c r="D84" i="11" s="1"/>
  <c r="C70" i="11"/>
  <c r="C84" i="11" s="1"/>
  <c r="V69" i="11"/>
  <c r="W69" i="11" s="1"/>
  <c r="Q69" i="11"/>
  <c r="R69" i="11" s="1"/>
  <c r="L69" i="11"/>
  <c r="M69" i="11" s="1"/>
  <c r="G69" i="11"/>
  <c r="H69" i="11" s="1"/>
  <c r="V68" i="11"/>
  <c r="W68" i="11" s="1"/>
  <c r="Q68" i="11"/>
  <c r="R68" i="11" s="1"/>
  <c r="L68" i="11"/>
  <c r="M68" i="11" s="1"/>
  <c r="G68" i="11"/>
  <c r="H68" i="11" s="1"/>
  <c r="V67" i="11"/>
  <c r="W67" i="11" s="1"/>
  <c r="Q67" i="11"/>
  <c r="R67" i="11" s="1"/>
  <c r="L67" i="11"/>
  <c r="M67" i="11" s="1"/>
  <c r="G67" i="11"/>
  <c r="H67" i="11" s="1"/>
  <c r="V66" i="11"/>
  <c r="W66" i="11" s="1"/>
  <c r="Q66" i="11"/>
  <c r="R66" i="11" s="1"/>
  <c r="L66" i="11"/>
  <c r="M66" i="11" s="1"/>
  <c r="G66" i="11"/>
  <c r="H66" i="11" s="1"/>
  <c r="V65" i="11"/>
  <c r="W65" i="11" s="1"/>
  <c r="Q65" i="11"/>
  <c r="R65" i="11" s="1"/>
  <c r="L65" i="11"/>
  <c r="M65" i="11" s="1"/>
  <c r="G65" i="11"/>
  <c r="H65" i="11" s="1"/>
  <c r="V64" i="11"/>
  <c r="W64" i="11" s="1"/>
  <c r="Q64" i="11"/>
  <c r="R64" i="11" s="1"/>
  <c r="L64" i="11"/>
  <c r="M64" i="11" s="1"/>
  <c r="G64" i="11"/>
  <c r="H64" i="11" s="1"/>
  <c r="V63" i="11"/>
  <c r="W63" i="11" s="1"/>
  <c r="Q63" i="11"/>
  <c r="R63" i="11" s="1"/>
  <c r="L63" i="11"/>
  <c r="M63" i="11" s="1"/>
  <c r="G63" i="11"/>
  <c r="H63" i="11" s="1"/>
  <c r="V62" i="11"/>
  <c r="W62" i="11" s="1"/>
  <c r="Q62" i="11"/>
  <c r="R62" i="11" s="1"/>
  <c r="L62" i="11"/>
  <c r="M62" i="11" s="1"/>
  <c r="G62" i="11"/>
  <c r="H62" i="11" s="1"/>
  <c r="V61" i="11"/>
  <c r="W61" i="11" s="1"/>
  <c r="Q61" i="11"/>
  <c r="R61" i="11" s="1"/>
  <c r="L61" i="11"/>
  <c r="M61" i="11" s="1"/>
  <c r="G61" i="11"/>
  <c r="H61" i="11" s="1"/>
  <c r="U60" i="11"/>
  <c r="T60" i="11"/>
  <c r="P60" i="11"/>
  <c r="O60" i="11"/>
  <c r="O83" i="11" s="1"/>
  <c r="K60" i="11"/>
  <c r="J60" i="11"/>
  <c r="J83" i="11" s="1"/>
  <c r="F60" i="11"/>
  <c r="E60" i="11"/>
  <c r="D60" i="11"/>
  <c r="C60" i="11"/>
  <c r="W58" i="11"/>
  <c r="R58" i="11"/>
  <c r="M58" i="11"/>
  <c r="G58" i="11"/>
  <c r="H58" i="11" s="1"/>
  <c r="V57" i="11"/>
  <c r="W57" i="11" s="1"/>
  <c r="Q57" i="11"/>
  <c r="R57" i="11" s="1"/>
  <c r="L57" i="11"/>
  <c r="M57" i="11" s="1"/>
  <c r="G57" i="11"/>
  <c r="H57" i="11" s="1"/>
  <c r="V56" i="11"/>
  <c r="W56" i="11" s="1"/>
  <c r="T55" i="11"/>
  <c r="V55" i="11" s="1"/>
  <c r="W55" i="11" s="1"/>
  <c r="O55" i="11"/>
  <c r="Q55" i="11" s="1"/>
  <c r="R55" i="11" s="1"/>
  <c r="K55" i="11"/>
  <c r="K49" i="11" s="1"/>
  <c r="J55" i="11"/>
  <c r="F55" i="11"/>
  <c r="E55" i="11"/>
  <c r="D55" i="11"/>
  <c r="C55" i="11"/>
  <c r="C49" i="11" s="1"/>
  <c r="V54" i="11"/>
  <c r="W54" i="11" s="1"/>
  <c r="Q54" i="11"/>
  <c r="R54" i="11" s="1"/>
  <c r="L54" i="11"/>
  <c r="M54" i="11" s="1"/>
  <c r="G54" i="11"/>
  <c r="H54" i="11" s="1"/>
  <c r="V53" i="11"/>
  <c r="W53" i="11" s="1"/>
  <c r="Q53" i="11"/>
  <c r="R53" i="11" s="1"/>
  <c r="L53" i="11"/>
  <c r="M53" i="11" s="1"/>
  <c r="G53" i="11"/>
  <c r="H53" i="11" s="1"/>
  <c r="U52" i="11"/>
  <c r="U49" i="11" s="1"/>
  <c r="T52" i="11"/>
  <c r="P52" i="11"/>
  <c r="O52" i="11"/>
  <c r="K52" i="11"/>
  <c r="J52" i="11"/>
  <c r="J49" i="11" s="1"/>
  <c r="F52" i="11"/>
  <c r="E52" i="11"/>
  <c r="E49" i="11" s="1"/>
  <c r="D52" i="11"/>
  <c r="C52" i="11"/>
  <c r="V51" i="11"/>
  <c r="W51" i="11" s="1"/>
  <c r="Q51" i="11"/>
  <c r="R51" i="11" s="1"/>
  <c r="L51" i="11"/>
  <c r="M51" i="11" s="1"/>
  <c r="H51" i="11"/>
  <c r="V50" i="11"/>
  <c r="W50" i="11" s="1"/>
  <c r="Q50" i="11"/>
  <c r="R50" i="11" s="1"/>
  <c r="L50" i="11"/>
  <c r="M50" i="11" s="1"/>
  <c r="G50" i="11"/>
  <c r="H50" i="11" s="1"/>
  <c r="V46" i="11"/>
  <c r="W46" i="11" s="1"/>
  <c r="L46" i="11"/>
  <c r="M46" i="11" s="1"/>
  <c r="G46" i="11"/>
  <c r="H46" i="11" s="1"/>
  <c r="V45" i="11"/>
  <c r="W45" i="11" s="1"/>
  <c r="L45" i="11"/>
  <c r="M45" i="11" s="1"/>
  <c r="G45" i="11"/>
  <c r="H45" i="11" s="1"/>
  <c r="V44" i="11"/>
  <c r="W44" i="11" s="1"/>
  <c r="L44" i="11"/>
  <c r="M44" i="11" s="1"/>
  <c r="G44" i="11"/>
  <c r="H44" i="11" s="1"/>
  <c r="V43" i="11"/>
  <c r="W43" i="11" s="1"/>
  <c r="Q43" i="11"/>
  <c r="R43" i="11" s="1"/>
  <c r="L43" i="11"/>
  <c r="M43" i="11" s="1"/>
  <c r="G43" i="11"/>
  <c r="H43" i="11" s="1"/>
  <c r="V42" i="11"/>
  <c r="W42" i="11" s="1"/>
  <c r="Q42" i="11"/>
  <c r="R42" i="11" s="1"/>
  <c r="L42" i="11"/>
  <c r="M42" i="11" s="1"/>
  <c r="G42" i="11"/>
  <c r="H42" i="11" s="1"/>
  <c r="V41" i="11"/>
  <c r="W41" i="11" s="1"/>
  <c r="Q41" i="11"/>
  <c r="R41" i="11" s="1"/>
  <c r="L41" i="11"/>
  <c r="M41" i="11" s="1"/>
  <c r="G41" i="11"/>
  <c r="H41" i="11" s="1"/>
  <c r="V40" i="11"/>
  <c r="W40" i="11" s="1"/>
  <c r="Q40" i="11"/>
  <c r="R40" i="11" s="1"/>
  <c r="M40" i="11"/>
  <c r="L40" i="11"/>
  <c r="G40" i="11"/>
  <c r="H40" i="11" s="1"/>
  <c r="V39" i="11"/>
  <c r="W39" i="11" s="1"/>
  <c r="Q39" i="11"/>
  <c r="R39" i="11" s="1"/>
  <c r="L39" i="11"/>
  <c r="M39" i="11" s="1"/>
  <c r="G39" i="11"/>
  <c r="H39" i="11" s="1"/>
  <c r="V38" i="11"/>
  <c r="W38" i="11" s="1"/>
  <c r="Q38" i="11"/>
  <c r="R38" i="11" s="1"/>
  <c r="L38" i="11"/>
  <c r="M38" i="11" s="1"/>
  <c r="G38" i="11"/>
  <c r="H38" i="11" s="1"/>
  <c r="V37" i="11"/>
  <c r="W37" i="11" s="1"/>
  <c r="T36" i="11"/>
  <c r="O36" i="11"/>
  <c r="L37" i="11"/>
  <c r="M37" i="11" s="1"/>
  <c r="G37" i="11"/>
  <c r="H37" i="11" s="1"/>
  <c r="U36" i="11"/>
  <c r="P36" i="11"/>
  <c r="K36" i="11"/>
  <c r="J36" i="11"/>
  <c r="F36" i="11"/>
  <c r="E36" i="11"/>
  <c r="D36" i="11"/>
  <c r="C36" i="11"/>
  <c r="W35" i="11"/>
  <c r="V35" i="11"/>
  <c r="Q35" i="11"/>
  <c r="R35" i="11" s="1"/>
  <c r="L35" i="11"/>
  <c r="M35" i="11" s="1"/>
  <c r="G35" i="11"/>
  <c r="H35" i="11" s="1"/>
  <c r="V34" i="11"/>
  <c r="W34" i="11" s="1"/>
  <c r="Q34" i="11"/>
  <c r="R34" i="11" s="1"/>
  <c r="L34" i="11"/>
  <c r="M34" i="11" s="1"/>
  <c r="G34" i="11"/>
  <c r="H34" i="11" s="1"/>
  <c r="W33" i="11"/>
  <c r="V33" i="11"/>
  <c r="Q33" i="11"/>
  <c r="R33" i="11" s="1"/>
  <c r="L33" i="11"/>
  <c r="M33" i="11" s="1"/>
  <c r="G33" i="11"/>
  <c r="H33" i="11" s="1"/>
  <c r="W32" i="11"/>
  <c r="V32" i="11"/>
  <c r="Q32" i="11"/>
  <c r="R32" i="11" s="1"/>
  <c r="L32" i="11"/>
  <c r="M32" i="11" s="1"/>
  <c r="G32" i="11"/>
  <c r="H32" i="11" s="1"/>
  <c r="V31" i="11"/>
  <c r="W31" i="11" s="1"/>
  <c r="Q31" i="11"/>
  <c r="R31" i="11" s="1"/>
  <c r="L31" i="11"/>
  <c r="M31" i="11" s="1"/>
  <c r="H31" i="11"/>
  <c r="G31" i="11"/>
  <c r="V30" i="11"/>
  <c r="W30" i="11" s="1"/>
  <c r="Q30" i="11"/>
  <c r="R30" i="11" s="1"/>
  <c r="L30" i="11"/>
  <c r="M30" i="11" s="1"/>
  <c r="G30" i="11"/>
  <c r="H30" i="11" s="1"/>
  <c r="V29" i="11"/>
  <c r="W29" i="11" s="1"/>
  <c r="Q29" i="11"/>
  <c r="R29" i="11" s="1"/>
  <c r="M29" i="11"/>
  <c r="L29" i="11"/>
  <c r="G29" i="11"/>
  <c r="H29" i="11" s="1"/>
  <c r="V28" i="11"/>
  <c r="W28" i="11" s="1"/>
  <c r="Q28" i="11"/>
  <c r="R28" i="11" s="1"/>
  <c r="M28" i="11"/>
  <c r="L28" i="11"/>
  <c r="G28" i="11"/>
  <c r="H28" i="11" s="1"/>
  <c r="U26" i="11"/>
  <c r="Q27" i="11"/>
  <c r="R27" i="11" s="1"/>
  <c r="L27" i="11"/>
  <c r="M27" i="11" s="1"/>
  <c r="G27" i="11"/>
  <c r="H27" i="11" s="1"/>
  <c r="T26" i="11"/>
  <c r="P26" i="11"/>
  <c r="O26" i="11"/>
  <c r="K26" i="11"/>
  <c r="J26" i="11"/>
  <c r="F26" i="11"/>
  <c r="E26" i="11"/>
  <c r="D26" i="11"/>
  <c r="C26" i="11"/>
  <c r="E25" i="11"/>
  <c r="V24" i="11"/>
  <c r="W24" i="11" s="1"/>
  <c r="Q24" i="11"/>
  <c r="R24" i="11" s="1"/>
  <c r="M24" i="11"/>
  <c r="G24" i="11"/>
  <c r="H24" i="11" s="1"/>
  <c r="V23" i="11"/>
  <c r="W23" i="11" s="1"/>
  <c r="Q23" i="11"/>
  <c r="R23" i="11" s="1"/>
  <c r="M23" i="11"/>
  <c r="G23" i="11"/>
  <c r="H23" i="11" s="1"/>
  <c r="V22" i="11"/>
  <c r="W22" i="11" s="1"/>
  <c r="Q22" i="11"/>
  <c r="R22" i="11" s="1"/>
  <c r="M22" i="11"/>
  <c r="H22" i="11"/>
  <c r="G22" i="11"/>
  <c r="V21" i="11"/>
  <c r="W21" i="11" s="1"/>
  <c r="Q21" i="11"/>
  <c r="R21" i="11" s="1"/>
  <c r="M21" i="11"/>
  <c r="H21" i="11"/>
  <c r="V20" i="11"/>
  <c r="W20" i="11" s="1"/>
  <c r="Q20" i="11"/>
  <c r="R20" i="11" s="1"/>
  <c r="L20" i="11"/>
  <c r="M20" i="11" s="1"/>
  <c r="G20" i="11"/>
  <c r="H20" i="11" s="1"/>
  <c r="V19" i="11"/>
  <c r="W19" i="11" s="1"/>
  <c r="Q19" i="11"/>
  <c r="R19" i="11" s="1"/>
  <c r="L19" i="11"/>
  <c r="M19" i="11" s="1"/>
  <c r="G19" i="11"/>
  <c r="H19" i="11" s="1"/>
  <c r="V18" i="11"/>
  <c r="W18" i="11" s="1"/>
  <c r="Q18" i="11"/>
  <c r="R18" i="11" s="1"/>
  <c r="L18" i="11"/>
  <c r="M18" i="11" s="1"/>
  <c r="H18" i="11"/>
  <c r="G18" i="11"/>
  <c r="V17" i="11"/>
  <c r="W17" i="11" s="1"/>
  <c r="Q17" i="11"/>
  <c r="R17" i="11" s="1"/>
  <c r="M17" i="11"/>
  <c r="L17" i="11"/>
  <c r="G17" i="11"/>
  <c r="H17" i="11" s="1"/>
  <c r="V16" i="11"/>
  <c r="W16" i="11" s="1"/>
  <c r="Q16" i="11"/>
  <c r="R16" i="11" s="1"/>
  <c r="L16" i="11"/>
  <c r="M16" i="11" s="1"/>
  <c r="G16" i="11"/>
  <c r="H16" i="11" s="1"/>
  <c r="V15" i="11"/>
  <c r="W15" i="11" s="1"/>
  <c r="Q15" i="11"/>
  <c r="R15" i="11" s="1"/>
  <c r="L15" i="11"/>
  <c r="M15" i="11" s="1"/>
  <c r="G15" i="11"/>
  <c r="H15" i="11" s="1"/>
  <c r="V14" i="11"/>
  <c r="W14" i="11" s="1"/>
  <c r="Q14" i="11"/>
  <c r="R14" i="11" s="1"/>
  <c r="L14" i="11"/>
  <c r="M14" i="11" s="1"/>
  <c r="G14" i="11"/>
  <c r="H14" i="11" s="1"/>
  <c r="V13" i="11"/>
  <c r="W13" i="11" s="1"/>
  <c r="P11" i="11"/>
  <c r="L13" i="11"/>
  <c r="M13" i="11" s="1"/>
  <c r="G13" i="11"/>
  <c r="H13" i="11" s="1"/>
  <c r="V12" i="11"/>
  <c r="W12" i="11" s="1"/>
  <c r="Q12" i="11"/>
  <c r="R12" i="11" s="1"/>
  <c r="K11" i="11"/>
  <c r="G12" i="11"/>
  <c r="H12" i="11" s="1"/>
  <c r="U11" i="11"/>
  <c r="T11" i="11"/>
  <c r="V11" i="11" s="1"/>
  <c r="W11" i="11" s="1"/>
  <c r="O11" i="11"/>
  <c r="J11" i="11"/>
  <c r="F11" i="11"/>
  <c r="E11" i="11"/>
  <c r="G11" i="11" s="1"/>
  <c r="H11" i="11" s="1"/>
  <c r="D11" i="11"/>
  <c r="C11" i="11"/>
  <c r="V10" i="11"/>
  <c r="W10" i="11" s="1"/>
  <c r="Q10" i="11"/>
  <c r="R10" i="11" s="1"/>
  <c r="L10" i="11"/>
  <c r="M10" i="11" s="1"/>
  <c r="G10" i="11"/>
  <c r="H10" i="11" s="1"/>
  <c r="V9" i="11"/>
  <c r="W9" i="11" s="1"/>
  <c r="Q9" i="11"/>
  <c r="R9" i="11" s="1"/>
  <c r="L9" i="11"/>
  <c r="M9" i="11" s="1"/>
  <c r="G9" i="11"/>
  <c r="H9" i="11" s="1"/>
  <c r="V8" i="11"/>
  <c r="W8" i="11" s="1"/>
  <c r="Q8" i="11"/>
  <c r="R8" i="11" s="1"/>
  <c r="L8" i="11"/>
  <c r="M8" i="11" s="1"/>
  <c r="G8" i="11"/>
  <c r="H8" i="11" s="1"/>
  <c r="V7" i="11"/>
  <c r="W7" i="11" s="1"/>
  <c r="Q7" i="11"/>
  <c r="R7" i="11" s="1"/>
  <c r="L7" i="11"/>
  <c r="M7" i="11" s="1"/>
  <c r="G7" i="11"/>
  <c r="H7" i="11" s="1"/>
  <c r="V6" i="11"/>
  <c r="W6" i="11" s="1"/>
  <c r="Q6" i="11"/>
  <c r="R6" i="11" s="1"/>
  <c r="L6" i="11"/>
  <c r="M6" i="11" s="1"/>
  <c r="G6" i="11"/>
  <c r="H6" i="11" s="1"/>
  <c r="V5" i="11"/>
  <c r="W5" i="11" s="1"/>
  <c r="Q5" i="11"/>
  <c r="R5" i="11" s="1"/>
  <c r="L5" i="11"/>
  <c r="M5" i="11" s="1"/>
  <c r="G5" i="11"/>
  <c r="H5" i="11" s="1"/>
  <c r="U4" i="11"/>
  <c r="T4" i="11"/>
  <c r="P4" i="11"/>
  <c r="O4" i="11"/>
  <c r="K4" i="11"/>
  <c r="J4" i="11"/>
  <c r="F4" i="11"/>
  <c r="E4" i="11"/>
  <c r="D4" i="11"/>
  <c r="C4" i="11"/>
  <c r="V19" i="12"/>
  <c r="W19" i="12" s="1"/>
  <c r="Q19" i="12"/>
  <c r="R19" i="12" s="1"/>
  <c r="L19" i="12"/>
  <c r="M19" i="12" s="1"/>
  <c r="V18" i="12"/>
  <c r="W18" i="12" s="1"/>
  <c r="Q18" i="12"/>
  <c r="R18" i="12" s="1"/>
  <c r="L18" i="12"/>
  <c r="M18" i="12" s="1"/>
  <c r="S17" i="12"/>
  <c r="S20" i="12" s="1"/>
  <c r="V16" i="12"/>
  <c r="W16" i="12" s="1"/>
  <c r="Q16" i="12"/>
  <c r="R16" i="12" s="1"/>
  <c r="L16" i="12"/>
  <c r="M16" i="12" s="1"/>
  <c r="V14" i="12"/>
  <c r="W14" i="12" s="1"/>
  <c r="Q14" i="12"/>
  <c r="R14" i="12" s="1"/>
  <c r="L14" i="12"/>
  <c r="M14" i="12" s="1"/>
  <c r="V13" i="12"/>
  <c r="W13" i="12" s="1"/>
  <c r="Q13" i="12"/>
  <c r="R13" i="12" s="1"/>
  <c r="L13" i="12"/>
  <c r="M13" i="12" s="1"/>
  <c r="V12" i="12"/>
  <c r="W12" i="12" s="1"/>
  <c r="V11" i="12"/>
  <c r="W11" i="12" s="1"/>
  <c r="Q11" i="12"/>
  <c r="R11" i="12" s="1"/>
  <c r="L11" i="12"/>
  <c r="M11" i="12" s="1"/>
  <c r="V10" i="12"/>
  <c r="W10" i="12" s="1"/>
  <c r="Q10" i="12"/>
  <c r="R10" i="12" s="1"/>
  <c r="L10" i="12"/>
  <c r="M10" i="12" s="1"/>
  <c r="V9" i="12"/>
  <c r="W9" i="12" s="1"/>
  <c r="V8" i="12"/>
  <c r="W8" i="12" s="1"/>
  <c r="V7" i="12"/>
  <c r="W7" i="12" s="1"/>
  <c r="V6" i="12"/>
  <c r="W6" i="12" s="1"/>
  <c r="Q6" i="12"/>
  <c r="R6" i="12" s="1"/>
  <c r="L6" i="12"/>
  <c r="M6" i="12" s="1"/>
  <c r="U5" i="12"/>
  <c r="U15" i="12" s="1"/>
  <c r="T5" i="12"/>
  <c r="T15" i="12" s="1"/>
  <c r="T17" i="12" s="1"/>
  <c r="T20" i="12" s="1"/>
  <c r="P5" i="12"/>
  <c r="O5" i="12"/>
  <c r="O15" i="12" s="1"/>
  <c r="O17" i="12" s="1"/>
  <c r="O20" i="12" s="1"/>
  <c r="K5" i="12"/>
  <c r="E5" i="12"/>
  <c r="G5" i="12" s="1"/>
  <c r="H5" i="12" s="1"/>
  <c r="D5" i="12"/>
  <c r="D15" i="12" s="1"/>
  <c r="D17" i="12" s="1"/>
  <c r="D20" i="12" s="1"/>
  <c r="C5" i="12"/>
  <c r="C15" i="12" s="1"/>
  <c r="C17" i="12" s="1"/>
  <c r="C20" i="12" s="1"/>
  <c r="V4" i="12"/>
  <c r="W4" i="12" s="1"/>
  <c r="J5" i="12"/>
  <c r="V3" i="12"/>
  <c r="W3" i="12" s="1"/>
  <c r="L5" i="12" l="1"/>
  <c r="G29" i="5"/>
  <c r="H31" i="5"/>
  <c r="L173" i="2"/>
  <c r="C4" i="13"/>
  <c r="D38" i="9"/>
  <c r="T3" i="11"/>
  <c r="L52" i="11"/>
  <c r="M52" i="11" s="1"/>
  <c r="Q52" i="11"/>
  <c r="R52" i="11" s="1"/>
  <c r="L60" i="11"/>
  <c r="M60" i="11" s="1"/>
  <c r="D25" i="11"/>
  <c r="Q36" i="11"/>
  <c r="R36" i="11" s="1"/>
  <c r="J25" i="11"/>
  <c r="L36" i="11"/>
  <c r="M36" i="11" s="1"/>
  <c r="T25" i="11"/>
  <c r="T47" i="11" s="1"/>
  <c r="F49" i="11"/>
  <c r="G49" i="11" s="1"/>
  <c r="H49" i="11" s="1"/>
  <c r="E59" i="11"/>
  <c r="E80" i="11" s="1"/>
  <c r="G84" i="11"/>
  <c r="H84" i="11" s="1"/>
  <c r="T59" i="11"/>
  <c r="O82" i="11"/>
  <c r="G70" i="11"/>
  <c r="H70" i="11" s="1"/>
  <c r="J59" i="11"/>
  <c r="J80" i="11" s="1"/>
  <c r="T83" i="11"/>
  <c r="T82" i="11" s="1"/>
  <c r="O59" i="11"/>
  <c r="E83" i="11"/>
  <c r="E82" i="11" s="1"/>
  <c r="D49" i="11"/>
  <c r="T49" i="11"/>
  <c r="V49" i="11" s="1"/>
  <c r="W49" i="11" s="1"/>
  <c r="O49" i="11"/>
  <c r="L55" i="11"/>
  <c r="M55" i="11" s="1"/>
  <c r="J3" i="11"/>
  <c r="O3" i="11"/>
  <c r="L11" i="11"/>
  <c r="M11" i="11" s="1"/>
  <c r="E3" i="11"/>
  <c r="E47" i="11" s="1"/>
  <c r="Z80" i="11" s="1"/>
  <c r="D3" i="11"/>
  <c r="D59" i="11"/>
  <c r="D83" i="11"/>
  <c r="D82" i="11" s="1"/>
  <c r="C59" i="11"/>
  <c r="C25" i="11"/>
  <c r="C3" i="11"/>
  <c r="G55" i="11"/>
  <c r="H55" i="11" s="1"/>
  <c r="G26" i="11"/>
  <c r="H26" i="11" s="1"/>
  <c r="P25" i="11"/>
  <c r="P47" i="11" s="1"/>
  <c r="Q4" i="11"/>
  <c r="R4" i="11" s="1"/>
  <c r="P3" i="11"/>
  <c r="Q70" i="11"/>
  <c r="R70" i="11" s="1"/>
  <c r="Q5" i="12"/>
  <c r="R5" i="12" s="1"/>
  <c r="J15" i="12"/>
  <c r="J17" i="12" s="1"/>
  <c r="J20" i="12" s="1"/>
  <c r="E15" i="12"/>
  <c r="C27" i="13"/>
  <c r="C3" i="13" s="1"/>
  <c r="Q3" i="9"/>
  <c r="R3" i="9" s="1"/>
  <c r="L3" i="9"/>
  <c r="M3" i="9" s="1"/>
  <c r="V33" i="9"/>
  <c r="W33" i="9" s="1"/>
  <c r="G16" i="9"/>
  <c r="H16" i="9" s="1"/>
  <c r="G3" i="9"/>
  <c r="H3" i="9" s="1"/>
  <c r="L29" i="9"/>
  <c r="M29" i="9" s="1"/>
  <c r="Q16" i="9"/>
  <c r="R16" i="9" s="1"/>
  <c r="E19" i="5"/>
  <c r="G19" i="5" s="1"/>
  <c r="H19" i="5" s="1"/>
  <c r="P38" i="9"/>
  <c r="V8" i="9"/>
  <c r="W8" i="9" s="1"/>
  <c r="Q8" i="9"/>
  <c r="R8" i="9" s="1"/>
  <c r="G8" i="9"/>
  <c r="H8" i="9" s="1"/>
  <c r="E38" i="9"/>
  <c r="L18" i="9"/>
  <c r="M18" i="9" s="1"/>
  <c r="V18" i="9"/>
  <c r="W18" i="9" s="1"/>
  <c r="U17" i="9"/>
  <c r="J38" i="9"/>
  <c r="G17" i="9"/>
  <c r="H17" i="9" s="1"/>
  <c r="G18" i="9"/>
  <c r="H18" i="9" s="1"/>
  <c r="K8" i="9"/>
  <c r="L8" i="9" s="1"/>
  <c r="M8" i="9" s="1"/>
  <c r="V3" i="9"/>
  <c r="W3" i="9" s="1"/>
  <c r="G5" i="5"/>
  <c r="H5" i="5" s="1"/>
  <c r="G36" i="5"/>
  <c r="H36" i="5" s="1"/>
  <c r="U3" i="11"/>
  <c r="V3" i="11" s="1"/>
  <c r="W3" i="11" s="1"/>
  <c r="V4" i="11"/>
  <c r="W4" i="11" s="1"/>
  <c r="Q37" i="11"/>
  <c r="R37" i="11" s="1"/>
  <c r="G36" i="11"/>
  <c r="H36" i="11" s="1"/>
  <c r="F25" i="11"/>
  <c r="Q13" i="11"/>
  <c r="R13" i="11" s="1"/>
  <c r="L12" i="11"/>
  <c r="M12" i="11" s="1"/>
  <c r="J84" i="11"/>
  <c r="J82" i="11" s="1"/>
  <c r="V60" i="11"/>
  <c r="W60" i="11" s="1"/>
  <c r="U83" i="11"/>
  <c r="V26" i="11"/>
  <c r="W26" i="11" s="1"/>
  <c r="U25" i="11"/>
  <c r="V36" i="11"/>
  <c r="W36" i="11" s="1"/>
  <c r="P83" i="11"/>
  <c r="P59" i="11"/>
  <c r="C83" i="11"/>
  <c r="C82" i="11" s="1"/>
  <c r="Q84" i="11"/>
  <c r="R84" i="11" s="1"/>
  <c r="F59" i="11"/>
  <c r="G60" i="11"/>
  <c r="H60" i="11" s="1"/>
  <c r="F83" i="11"/>
  <c r="Q11" i="11"/>
  <c r="R11" i="11" s="1"/>
  <c r="L49" i="11"/>
  <c r="M49" i="11" s="1"/>
  <c r="F3" i="11"/>
  <c r="G4" i="11"/>
  <c r="H4" i="11" s="1"/>
  <c r="K25" i="11"/>
  <c r="L26" i="11"/>
  <c r="M26" i="11" s="1"/>
  <c r="K3" i="11"/>
  <c r="L4" i="11"/>
  <c r="M4" i="11" s="1"/>
  <c r="O25" i="11"/>
  <c r="O47" i="11" s="1"/>
  <c r="Q60" i="11"/>
  <c r="R60" i="11" s="1"/>
  <c r="U70" i="11"/>
  <c r="K70" i="11"/>
  <c r="G74" i="11"/>
  <c r="H74" i="11" s="1"/>
  <c r="V27" i="11"/>
  <c r="W27" i="11" s="1"/>
  <c r="K83" i="11"/>
  <c r="P49" i="11"/>
  <c r="Q49" i="11" s="1"/>
  <c r="R49" i="11" s="1"/>
  <c r="G52" i="11"/>
  <c r="H52" i="11" s="1"/>
  <c r="V52" i="11"/>
  <c r="W52" i="11" s="1"/>
  <c r="Q26" i="11"/>
  <c r="R26" i="11" s="1"/>
  <c r="V15" i="12"/>
  <c r="W15" i="12" s="1"/>
  <c r="U17" i="12"/>
  <c r="M5" i="12"/>
  <c r="V5" i="12"/>
  <c r="W5" i="12" s="1"/>
  <c r="K15" i="12"/>
  <c r="L15" i="12" s="1"/>
  <c r="P15" i="12"/>
  <c r="V171" i="2"/>
  <c r="W171" i="2" s="1"/>
  <c r="Q171" i="2"/>
  <c r="R171" i="2" s="1"/>
  <c r="L171" i="2"/>
  <c r="M171" i="2" s="1"/>
  <c r="G171" i="2"/>
  <c r="H171" i="2" s="1"/>
  <c r="Q170" i="2"/>
  <c r="R170" i="2" s="1"/>
  <c r="L170" i="2"/>
  <c r="M170" i="2" s="1"/>
  <c r="V169" i="2"/>
  <c r="W169" i="2" s="1"/>
  <c r="Q169" i="2"/>
  <c r="R169" i="2" s="1"/>
  <c r="L169" i="2"/>
  <c r="M169" i="2" s="1"/>
  <c r="G169" i="2"/>
  <c r="H169" i="2" s="1"/>
  <c r="V168" i="2"/>
  <c r="W168" i="2" s="1"/>
  <c r="Q168" i="2"/>
  <c r="R168" i="2" s="1"/>
  <c r="L168" i="2"/>
  <c r="M168" i="2" s="1"/>
  <c r="G168" i="2"/>
  <c r="H168" i="2" s="1"/>
  <c r="V167" i="2"/>
  <c r="W167" i="2" s="1"/>
  <c r="Q167" i="2"/>
  <c r="R167" i="2" s="1"/>
  <c r="L167" i="2"/>
  <c r="M167" i="2" s="1"/>
  <c r="G167" i="2"/>
  <c r="H167" i="2" s="1"/>
  <c r="V166" i="2"/>
  <c r="W166" i="2" s="1"/>
  <c r="Q166" i="2"/>
  <c r="R166" i="2" s="1"/>
  <c r="L166" i="2"/>
  <c r="M166" i="2" s="1"/>
  <c r="G166" i="2"/>
  <c r="H166" i="2" s="1"/>
  <c r="V165" i="2"/>
  <c r="W165" i="2" s="1"/>
  <c r="L165" i="2"/>
  <c r="M165" i="2" s="1"/>
  <c r="G165" i="2"/>
  <c r="H165" i="2" s="1"/>
  <c r="V162" i="2"/>
  <c r="W162" i="2" s="1"/>
  <c r="Q154" i="2"/>
  <c r="R154" i="2" s="1"/>
  <c r="L162" i="2"/>
  <c r="M162" i="2" s="1"/>
  <c r="V161" i="2"/>
  <c r="W161" i="2" s="1"/>
  <c r="Q161" i="2"/>
  <c r="R161" i="2" s="1"/>
  <c r="L161" i="2"/>
  <c r="M161" i="2" s="1"/>
  <c r="G161" i="2"/>
  <c r="H161" i="2" s="1"/>
  <c r="V160" i="2"/>
  <c r="W160" i="2" s="1"/>
  <c r="Q160" i="2"/>
  <c r="R160" i="2" s="1"/>
  <c r="L160" i="2"/>
  <c r="M160" i="2" s="1"/>
  <c r="G160" i="2"/>
  <c r="H160" i="2" s="1"/>
  <c r="V159" i="2"/>
  <c r="W159" i="2" s="1"/>
  <c r="Q159" i="2"/>
  <c r="R159" i="2" s="1"/>
  <c r="L159" i="2"/>
  <c r="M159" i="2" s="1"/>
  <c r="G159" i="2"/>
  <c r="H159" i="2" s="1"/>
  <c r="V158" i="2"/>
  <c r="W158" i="2" s="1"/>
  <c r="Q158" i="2"/>
  <c r="R158" i="2" s="1"/>
  <c r="L158" i="2"/>
  <c r="M158" i="2" s="1"/>
  <c r="G158" i="2"/>
  <c r="H158" i="2" s="1"/>
  <c r="V157" i="2"/>
  <c r="W157" i="2" s="1"/>
  <c r="Q157" i="2"/>
  <c r="R157" i="2" s="1"/>
  <c r="L157" i="2"/>
  <c r="M157" i="2" s="1"/>
  <c r="G157" i="2"/>
  <c r="H157" i="2" s="1"/>
  <c r="V156" i="2"/>
  <c r="W156" i="2" s="1"/>
  <c r="Q156" i="2"/>
  <c r="R156" i="2" s="1"/>
  <c r="G156" i="2"/>
  <c r="H156" i="2" s="1"/>
  <c r="V155" i="2"/>
  <c r="W155" i="2" s="1"/>
  <c r="Q155" i="2"/>
  <c r="R155" i="2" s="1"/>
  <c r="L155" i="2"/>
  <c r="M155" i="2" s="1"/>
  <c r="G155" i="2"/>
  <c r="H155" i="2" s="1"/>
  <c r="V154" i="2"/>
  <c r="W154" i="2" s="1"/>
  <c r="V152" i="2"/>
  <c r="W152" i="2" s="1"/>
  <c r="Q152" i="2"/>
  <c r="R152" i="2" s="1"/>
  <c r="L152" i="2"/>
  <c r="M152" i="2" s="1"/>
  <c r="G152" i="2"/>
  <c r="H152" i="2" s="1"/>
  <c r="V151" i="2"/>
  <c r="W151" i="2" s="1"/>
  <c r="Q151" i="2"/>
  <c r="R151" i="2" s="1"/>
  <c r="L151" i="2"/>
  <c r="M151" i="2" s="1"/>
  <c r="G151" i="2"/>
  <c r="H151" i="2" s="1"/>
  <c r="V150" i="2"/>
  <c r="W150" i="2" s="1"/>
  <c r="Q150" i="2"/>
  <c r="R150" i="2" s="1"/>
  <c r="L150" i="2"/>
  <c r="M150" i="2" s="1"/>
  <c r="G150" i="2"/>
  <c r="H150" i="2" s="1"/>
  <c r="V149" i="2"/>
  <c r="W149" i="2" s="1"/>
  <c r="Q149" i="2"/>
  <c r="R149" i="2" s="1"/>
  <c r="L149" i="2"/>
  <c r="M149" i="2" s="1"/>
  <c r="G149" i="2"/>
  <c r="H149" i="2" s="1"/>
  <c r="V148" i="2"/>
  <c r="W148" i="2" s="1"/>
  <c r="Q148" i="2"/>
  <c r="R148" i="2" s="1"/>
  <c r="L148" i="2"/>
  <c r="M148" i="2" s="1"/>
  <c r="G148" i="2"/>
  <c r="H148" i="2" s="1"/>
  <c r="V147" i="2"/>
  <c r="W147" i="2" s="1"/>
  <c r="Q147" i="2"/>
  <c r="R147" i="2" s="1"/>
  <c r="L147" i="2"/>
  <c r="M147" i="2" s="1"/>
  <c r="G147" i="2"/>
  <c r="H147" i="2" s="1"/>
  <c r="V146" i="2"/>
  <c r="W146" i="2" s="1"/>
  <c r="F146" i="2"/>
  <c r="V143" i="2"/>
  <c r="W143" i="2" s="1"/>
  <c r="Q143" i="2"/>
  <c r="R143" i="2" s="1"/>
  <c r="L143" i="2"/>
  <c r="M143" i="2" s="1"/>
  <c r="G143" i="2"/>
  <c r="H143" i="2" s="1"/>
  <c r="V142" i="2"/>
  <c r="W142" i="2" s="1"/>
  <c r="Q142" i="2"/>
  <c r="R142" i="2" s="1"/>
  <c r="L142" i="2"/>
  <c r="M142" i="2" s="1"/>
  <c r="G142" i="2"/>
  <c r="H142" i="2" s="1"/>
  <c r="V141" i="2"/>
  <c r="W141" i="2" s="1"/>
  <c r="Q141" i="2"/>
  <c r="R141" i="2" s="1"/>
  <c r="M141" i="2"/>
  <c r="G141" i="2"/>
  <c r="H141" i="2" s="1"/>
  <c r="V140" i="2"/>
  <c r="W140" i="2" s="1"/>
  <c r="Q140" i="2"/>
  <c r="R140" i="2" s="1"/>
  <c r="F140" i="2"/>
  <c r="V138" i="2"/>
  <c r="W138" i="2" s="1"/>
  <c r="Q138" i="2"/>
  <c r="R138" i="2" s="1"/>
  <c r="L138" i="2"/>
  <c r="M138" i="2" s="1"/>
  <c r="G138" i="2"/>
  <c r="H138" i="2" s="1"/>
  <c r="V137" i="2"/>
  <c r="W137" i="2" s="1"/>
  <c r="Q137" i="2"/>
  <c r="R137" i="2" s="1"/>
  <c r="L137" i="2"/>
  <c r="M137" i="2" s="1"/>
  <c r="G137" i="2"/>
  <c r="H137" i="2" s="1"/>
  <c r="V136" i="2"/>
  <c r="W136" i="2" s="1"/>
  <c r="Q136" i="2"/>
  <c r="R136" i="2" s="1"/>
  <c r="L136" i="2"/>
  <c r="M136" i="2" s="1"/>
  <c r="G136" i="2"/>
  <c r="H136" i="2" s="1"/>
  <c r="V135" i="2"/>
  <c r="W135" i="2" s="1"/>
  <c r="Q135" i="2"/>
  <c r="R135" i="2" s="1"/>
  <c r="L135" i="2"/>
  <c r="M135" i="2" s="1"/>
  <c r="G135" i="2"/>
  <c r="H135" i="2" s="1"/>
  <c r="V134" i="2"/>
  <c r="W134" i="2" s="1"/>
  <c r="Q134" i="2"/>
  <c r="R134" i="2" s="1"/>
  <c r="L134" i="2"/>
  <c r="M134" i="2" s="1"/>
  <c r="G134" i="2"/>
  <c r="H134" i="2" s="1"/>
  <c r="V133" i="2"/>
  <c r="W133" i="2" s="1"/>
  <c r="Q133" i="2"/>
  <c r="R133" i="2" s="1"/>
  <c r="L133" i="2"/>
  <c r="M133" i="2" s="1"/>
  <c r="G133" i="2"/>
  <c r="H133" i="2" s="1"/>
  <c r="V132" i="2"/>
  <c r="W132" i="2" s="1"/>
  <c r="Q132" i="2"/>
  <c r="R132" i="2" s="1"/>
  <c r="L132" i="2"/>
  <c r="M132" i="2" s="1"/>
  <c r="V131" i="2"/>
  <c r="W131" i="2" s="1"/>
  <c r="Q131" i="2"/>
  <c r="R131" i="2" s="1"/>
  <c r="L131" i="2"/>
  <c r="M131" i="2" s="1"/>
  <c r="G131" i="2"/>
  <c r="H131" i="2" s="1"/>
  <c r="V128" i="2"/>
  <c r="W128" i="2" s="1"/>
  <c r="Q128" i="2"/>
  <c r="R128" i="2" s="1"/>
  <c r="L128" i="2"/>
  <c r="M128" i="2" s="1"/>
  <c r="G128" i="2"/>
  <c r="H128" i="2" s="1"/>
  <c r="V127" i="2"/>
  <c r="W127" i="2" s="1"/>
  <c r="Q127" i="2"/>
  <c r="R127" i="2" s="1"/>
  <c r="L127" i="2"/>
  <c r="M127" i="2" s="1"/>
  <c r="G127" i="2"/>
  <c r="H127" i="2" s="1"/>
  <c r="V126" i="2"/>
  <c r="W126" i="2" s="1"/>
  <c r="Q126" i="2"/>
  <c r="R126" i="2" s="1"/>
  <c r="L126" i="2"/>
  <c r="M126" i="2" s="1"/>
  <c r="G126" i="2"/>
  <c r="H126" i="2" s="1"/>
  <c r="V125" i="2"/>
  <c r="W125" i="2" s="1"/>
  <c r="Q125" i="2"/>
  <c r="R125" i="2" s="1"/>
  <c r="L125" i="2"/>
  <c r="M125" i="2" s="1"/>
  <c r="G125" i="2"/>
  <c r="H125" i="2" s="1"/>
  <c r="V124" i="2"/>
  <c r="W124" i="2" s="1"/>
  <c r="Q124" i="2"/>
  <c r="R124" i="2" s="1"/>
  <c r="L124" i="2"/>
  <c r="M124" i="2" s="1"/>
  <c r="G124" i="2"/>
  <c r="H124" i="2" s="1"/>
  <c r="V123" i="2"/>
  <c r="W123" i="2" s="1"/>
  <c r="Q123" i="2"/>
  <c r="R123" i="2" s="1"/>
  <c r="L123" i="2"/>
  <c r="M123" i="2" s="1"/>
  <c r="G123" i="2"/>
  <c r="H123" i="2" s="1"/>
  <c r="V122" i="2"/>
  <c r="W122" i="2" s="1"/>
  <c r="Q122" i="2"/>
  <c r="R122" i="2" s="1"/>
  <c r="L122" i="2"/>
  <c r="M122" i="2" s="1"/>
  <c r="G122" i="2"/>
  <c r="H122" i="2" s="1"/>
  <c r="V121" i="2"/>
  <c r="W121" i="2" s="1"/>
  <c r="Q121" i="2"/>
  <c r="R121" i="2" s="1"/>
  <c r="L121" i="2"/>
  <c r="M121" i="2" s="1"/>
  <c r="G121" i="2"/>
  <c r="H121" i="2" s="1"/>
  <c r="V120" i="2"/>
  <c r="W120" i="2" s="1"/>
  <c r="Q120" i="2"/>
  <c r="R120" i="2" s="1"/>
  <c r="L120" i="2"/>
  <c r="M120" i="2" s="1"/>
  <c r="G120" i="2"/>
  <c r="H120" i="2" s="1"/>
  <c r="V119" i="2"/>
  <c r="W119" i="2" s="1"/>
  <c r="L119" i="2"/>
  <c r="M119" i="2" s="1"/>
  <c r="F119" i="2"/>
  <c r="V118" i="2"/>
  <c r="W118" i="2" s="1"/>
  <c r="Q118" i="2"/>
  <c r="R118" i="2" s="1"/>
  <c r="L118" i="2"/>
  <c r="M118" i="2" s="1"/>
  <c r="G118" i="2"/>
  <c r="H118" i="2" s="1"/>
  <c r="V117" i="2"/>
  <c r="W117" i="2" s="1"/>
  <c r="Q117" i="2"/>
  <c r="R117" i="2" s="1"/>
  <c r="L117" i="2"/>
  <c r="M117" i="2" s="1"/>
  <c r="G117" i="2"/>
  <c r="H117" i="2" s="1"/>
  <c r="V116" i="2"/>
  <c r="W116" i="2" s="1"/>
  <c r="Q116" i="2"/>
  <c r="R116" i="2" s="1"/>
  <c r="L116" i="2"/>
  <c r="M116" i="2" s="1"/>
  <c r="G116" i="2"/>
  <c r="H116" i="2" s="1"/>
  <c r="V114" i="2"/>
  <c r="W114" i="2" s="1"/>
  <c r="F114" i="2"/>
  <c r="G114" i="2" s="1"/>
  <c r="H114" i="2" s="1"/>
  <c r="V113" i="2"/>
  <c r="W113" i="2" s="1"/>
  <c r="Q113" i="2"/>
  <c r="R113" i="2" s="1"/>
  <c r="L113" i="2"/>
  <c r="M113" i="2" s="1"/>
  <c r="G113" i="2"/>
  <c r="H113" i="2" s="1"/>
  <c r="V112" i="2"/>
  <c r="W112" i="2" s="1"/>
  <c r="Q112" i="2"/>
  <c r="R112" i="2" s="1"/>
  <c r="L112" i="2"/>
  <c r="M112" i="2" s="1"/>
  <c r="G112" i="2"/>
  <c r="H112" i="2" s="1"/>
  <c r="V111" i="2"/>
  <c r="W111" i="2" s="1"/>
  <c r="Q111" i="2"/>
  <c r="R111" i="2" s="1"/>
  <c r="L111" i="2"/>
  <c r="M111" i="2" s="1"/>
  <c r="G111" i="2"/>
  <c r="H111" i="2" s="1"/>
  <c r="V110" i="2"/>
  <c r="W110" i="2" s="1"/>
  <c r="Q110" i="2"/>
  <c r="R110" i="2" s="1"/>
  <c r="L110" i="2"/>
  <c r="M110" i="2" s="1"/>
  <c r="G110" i="2"/>
  <c r="H110" i="2" s="1"/>
  <c r="V109" i="2"/>
  <c r="W109" i="2" s="1"/>
  <c r="L109" i="2"/>
  <c r="M109" i="2" s="1"/>
  <c r="F109" i="2"/>
  <c r="G109" i="2" s="1"/>
  <c r="H109" i="2" s="1"/>
  <c r="V108" i="2"/>
  <c r="W108" i="2" s="1"/>
  <c r="Q108" i="2"/>
  <c r="R108" i="2" s="1"/>
  <c r="L108" i="2"/>
  <c r="M108" i="2" s="1"/>
  <c r="G108" i="2"/>
  <c r="H108" i="2" s="1"/>
  <c r="V107" i="2"/>
  <c r="W107" i="2" s="1"/>
  <c r="Q107" i="2"/>
  <c r="R107" i="2" s="1"/>
  <c r="L107" i="2"/>
  <c r="M107" i="2" s="1"/>
  <c r="G107" i="2"/>
  <c r="H107" i="2" s="1"/>
  <c r="V106" i="2"/>
  <c r="W106" i="2" s="1"/>
  <c r="Q106" i="2"/>
  <c r="R106" i="2" s="1"/>
  <c r="L106" i="2"/>
  <c r="M106" i="2" s="1"/>
  <c r="G106" i="2"/>
  <c r="H106" i="2" s="1"/>
  <c r="V105" i="2"/>
  <c r="W105" i="2" s="1"/>
  <c r="Q105" i="2"/>
  <c r="R105" i="2" s="1"/>
  <c r="L105" i="2"/>
  <c r="M105" i="2" s="1"/>
  <c r="G105" i="2"/>
  <c r="H105" i="2" s="1"/>
  <c r="V104" i="2"/>
  <c r="W104" i="2" s="1"/>
  <c r="L104" i="2"/>
  <c r="M104" i="2" s="1"/>
  <c r="V102" i="2"/>
  <c r="W102" i="2" s="1"/>
  <c r="Q102" i="2"/>
  <c r="R102" i="2" s="1"/>
  <c r="L102" i="2"/>
  <c r="M102" i="2" s="1"/>
  <c r="G102" i="2"/>
  <c r="H102" i="2" s="1"/>
  <c r="V101" i="2"/>
  <c r="W101" i="2" s="1"/>
  <c r="Q101" i="2"/>
  <c r="R101" i="2" s="1"/>
  <c r="L101" i="2"/>
  <c r="M101" i="2" s="1"/>
  <c r="G101" i="2"/>
  <c r="H101" i="2" s="1"/>
  <c r="V100" i="2"/>
  <c r="W100" i="2" s="1"/>
  <c r="Q100" i="2"/>
  <c r="R100" i="2" s="1"/>
  <c r="L100" i="2"/>
  <c r="M100" i="2" s="1"/>
  <c r="G100" i="2"/>
  <c r="H100" i="2" s="1"/>
  <c r="V99" i="2"/>
  <c r="W99" i="2" s="1"/>
  <c r="Q99" i="2"/>
  <c r="R99" i="2" s="1"/>
  <c r="L99" i="2"/>
  <c r="M99" i="2" s="1"/>
  <c r="G99" i="2"/>
  <c r="H99" i="2" s="1"/>
  <c r="V98" i="2"/>
  <c r="W98" i="2" s="1"/>
  <c r="Q98" i="2"/>
  <c r="R98" i="2" s="1"/>
  <c r="L98" i="2"/>
  <c r="M98" i="2" s="1"/>
  <c r="G98" i="2"/>
  <c r="H98" i="2" s="1"/>
  <c r="V97" i="2"/>
  <c r="W97" i="2" s="1"/>
  <c r="Q97" i="2"/>
  <c r="R97" i="2" s="1"/>
  <c r="L97" i="2"/>
  <c r="M97" i="2" s="1"/>
  <c r="G97" i="2"/>
  <c r="H97" i="2" s="1"/>
  <c r="V96" i="2"/>
  <c r="W96" i="2" s="1"/>
  <c r="L96" i="2"/>
  <c r="M96" i="2" s="1"/>
  <c r="F96" i="2"/>
  <c r="V95" i="2"/>
  <c r="W95" i="2" s="1"/>
  <c r="Q95" i="2"/>
  <c r="R95" i="2" s="1"/>
  <c r="L95" i="2"/>
  <c r="M95" i="2" s="1"/>
  <c r="G95" i="2"/>
  <c r="H95" i="2" s="1"/>
  <c r="V94" i="2"/>
  <c r="W94" i="2" s="1"/>
  <c r="Q94" i="2"/>
  <c r="R94" i="2" s="1"/>
  <c r="L94" i="2"/>
  <c r="M94" i="2" s="1"/>
  <c r="G94" i="2"/>
  <c r="H94" i="2" s="1"/>
  <c r="V93" i="2"/>
  <c r="W93" i="2" s="1"/>
  <c r="Q93" i="2"/>
  <c r="R93" i="2" s="1"/>
  <c r="L93" i="2"/>
  <c r="M93" i="2" s="1"/>
  <c r="G93" i="2"/>
  <c r="H93" i="2" s="1"/>
  <c r="V92" i="2"/>
  <c r="W92" i="2" s="1"/>
  <c r="Q92" i="2"/>
  <c r="R92" i="2" s="1"/>
  <c r="L92" i="2"/>
  <c r="M92" i="2" s="1"/>
  <c r="G92" i="2"/>
  <c r="H92" i="2" s="1"/>
  <c r="V91" i="2"/>
  <c r="W91" i="2" s="1"/>
  <c r="Q91" i="2"/>
  <c r="R91" i="2" s="1"/>
  <c r="L91" i="2"/>
  <c r="M91" i="2" s="1"/>
  <c r="G91" i="2"/>
  <c r="H91" i="2" s="1"/>
  <c r="V90" i="2"/>
  <c r="W90" i="2" s="1"/>
  <c r="L90" i="2"/>
  <c r="M90" i="2" s="1"/>
  <c r="F90" i="2"/>
  <c r="G90" i="2" s="1"/>
  <c r="H90" i="2" s="1"/>
  <c r="V89" i="2"/>
  <c r="W89" i="2" s="1"/>
  <c r="Q89" i="2"/>
  <c r="R89" i="2" s="1"/>
  <c r="L89" i="2"/>
  <c r="M89" i="2" s="1"/>
  <c r="G89" i="2"/>
  <c r="H89" i="2" s="1"/>
  <c r="V88" i="2"/>
  <c r="W88" i="2" s="1"/>
  <c r="Q88" i="2"/>
  <c r="R88" i="2" s="1"/>
  <c r="L88" i="2"/>
  <c r="M88" i="2" s="1"/>
  <c r="G88" i="2"/>
  <c r="H88" i="2" s="1"/>
  <c r="V87" i="2"/>
  <c r="W87" i="2" s="1"/>
  <c r="Q87" i="2"/>
  <c r="R87" i="2" s="1"/>
  <c r="V86" i="2"/>
  <c r="W86" i="2" s="1"/>
  <c r="Q86" i="2"/>
  <c r="R86" i="2" s="1"/>
  <c r="L86" i="2"/>
  <c r="M86" i="2" s="1"/>
  <c r="G86" i="2"/>
  <c r="H86" i="2" s="1"/>
  <c r="V85" i="2"/>
  <c r="W85" i="2" s="1"/>
  <c r="Q85" i="2"/>
  <c r="R85" i="2" s="1"/>
  <c r="L85" i="2"/>
  <c r="M85" i="2" s="1"/>
  <c r="G85" i="2"/>
  <c r="H85" i="2" s="1"/>
  <c r="V84" i="2"/>
  <c r="W84" i="2" s="1"/>
  <c r="Q84" i="2"/>
  <c r="R84" i="2" s="1"/>
  <c r="L84" i="2"/>
  <c r="M84" i="2" s="1"/>
  <c r="G84" i="2"/>
  <c r="H84" i="2" s="1"/>
  <c r="V83" i="2"/>
  <c r="W83" i="2" s="1"/>
  <c r="Q83" i="2"/>
  <c r="R83" i="2" s="1"/>
  <c r="L83" i="2"/>
  <c r="M83" i="2" s="1"/>
  <c r="G83" i="2"/>
  <c r="H83" i="2" s="1"/>
  <c r="V82" i="2"/>
  <c r="W82" i="2" s="1"/>
  <c r="V74" i="2"/>
  <c r="W74" i="2" s="1"/>
  <c r="Q81" i="2"/>
  <c r="R81" i="2" s="1"/>
  <c r="L74" i="2"/>
  <c r="M74" i="2" s="1"/>
  <c r="F74" i="2"/>
  <c r="V80" i="2"/>
  <c r="W80" i="2" s="1"/>
  <c r="Q80" i="2"/>
  <c r="R80" i="2" s="1"/>
  <c r="L80" i="2"/>
  <c r="M80" i="2" s="1"/>
  <c r="G80" i="2"/>
  <c r="H80" i="2" s="1"/>
  <c r="V79" i="2"/>
  <c r="W79" i="2" s="1"/>
  <c r="Q79" i="2"/>
  <c r="R79" i="2" s="1"/>
  <c r="L79" i="2"/>
  <c r="M79" i="2" s="1"/>
  <c r="G79" i="2"/>
  <c r="H79" i="2" s="1"/>
  <c r="V78" i="2"/>
  <c r="W78" i="2" s="1"/>
  <c r="Q78" i="2"/>
  <c r="R78" i="2" s="1"/>
  <c r="L78" i="2"/>
  <c r="M78" i="2" s="1"/>
  <c r="G78" i="2"/>
  <c r="H78" i="2" s="1"/>
  <c r="V77" i="2"/>
  <c r="W77" i="2" s="1"/>
  <c r="Q77" i="2"/>
  <c r="R77" i="2" s="1"/>
  <c r="L77" i="2"/>
  <c r="M77" i="2" s="1"/>
  <c r="G77" i="2"/>
  <c r="H77" i="2" s="1"/>
  <c r="V76" i="2"/>
  <c r="W76" i="2" s="1"/>
  <c r="Q76" i="2"/>
  <c r="R76" i="2" s="1"/>
  <c r="L76" i="2"/>
  <c r="M76" i="2" s="1"/>
  <c r="G76" i="2"/>
  <c r="H76" i="2" s="1"/>
  <c r="V75" i="2"/>
  <c r="W75" i="2" s="1"/>
  <c r="Q75" i="2"/>
  <c r="R75" i="2" s="1"/>
  <c r="L75" i="2"/>
  <c r="M75" i="2" s="1"/>
  <c r="G75" i="2"/>
  <c r="H75" i="2" s="1"/>
  <c r="Q74" i="2"/>
  <c r="R74" i="2" s="1"/>
  <c r="V73" i="2"/>
  <c r="W73" i="2" s="1"/>
  <c r="Q73" i="2"/>
  <c r="R73" i="2" s="1"/>
  <c r="L73" i="2"/>
  <c r="M73" i="2" s="1"/>
  <c r="G73" i="2"/>
  <c r="H73" i="2" s="1"/>
  <c r="V72" i="2"/>
  <c r="W72" i="2" s="1"/>
  <c r="Q72" i="2"/>
  <c r="R72" i="2" s="1"/>
  <c r="L72" i="2"/>
  <c r="M72" i="2" s="1"/>
  <c r="G72" i="2"/>
  <c r="H72" i="2" s="1"/>
  <c r="V71" i="2"/>
  <c r="W71" i="2" s="1"/>
  <c r="Q71" i="2"/>
  <c r="R71" i="2" s="1"/>
  <c r="L71" i="2"/>
  <c r="M71" i="2" s="1"/>
  <c r="G71" i="2"/>
  <c r="H71" i="2" s="1"/>
  <c r="V70" i="2"/>
  <c r="W70" i="2" s="1"/>
  <c r="Q70" i="2"/>
  <c r="R70" i="2" s="1"/>
  <c r="L70" i="2"/>
  <c r="M70" i="2" s="1"/>
  <c r="G70" i="2"/>
  <c r="H70" i="2" s="1"/>
  <c r="V69" i="2"/>
  <c r="W69" i="2" s="1"/>
  <c r="Q69" i="2"/>
  <c r="R69" i="2" s="1"/>
  <c r="L69" i="2"/>
  <c r="M69" i="2" s="1"/>
  <c r="G69" i="2"/>
  <c r="H69" i="2" s="1"/>
  <c r="V68" i="2"/>
  <c r="W68" i="2" s="1"/>
  <c r="F68" i="2"/>
  <c r="V67" i="2"/>
  <c r="W67" i="2" s="1"/>
  <c r="Q67" i="2"/>
  <c r="R67" i="2" s="1"/>
  <c r="L67" i="2"/>
  <c r="M67" i="2" s="1"/>
  <c r="G67" i="2"/>
  <c r="H67" i="2" s="1"/>
  <c r="V65" i="2"/>
  <c r="W65" i="2" s="1"/>
  <c r="Q65" i="2"/>
  <c r="R65" i="2" s="1"/>
  <c r="V64" i="2"/>
  <c r="W64" i="2" s="1"/>
  <c r="Q64" i="2"/>
  <c r="R64" i="2" s="1"/>
  <c r="V63" i="2"/>
  <c r="W63" i="2" s="1"/>
  <c r="I63" i="2"/>
  <c r="H63" i="2"/>
  <c r="G63" i="2"/>
  <c r="F63" i="2"/>
  <c r="F59" i="2" s="1"/>
  <c r="V62" i="2"/>
  <c r="W62" i="2" s="1"/>
  <c r="Q62" i="2"/>
  <c r="R62" i="2" s="1"/>
  <c r="V61" i="2"/>
  <c r="W61" i="2" s="1"/>
  <c r="Q61" i="2"/>
  <c r="R61" i="2" s="1"/>
  <c r="I60" i="2"/>
  <c r="H60" i="2"/>
  <c r="G60" i="2"/>
  <c r="V59" i="2"/>
  <c r="W59" i="2" s="1"/>
  <c r="V57" i="2"/>
  <c r="W57" i="2" s="1"/>
  <c r="Q57" i="2"/>
  <c r="R57" i="2" s="1"/>
  <c r="L57" i="2"/>
  <c r="M57" i="2" s="1"/>
  <c r="G57" i="2"/>
  <c r="H57" i="2" s="1"/>
  <c r="V56" i="2"/>
  <c r="W56" i="2" s="1"/>
  <c r="Q56" i="2"/>
  <c r="R56" i="2" s="1"/>
  <c r="L56" i="2"/>
  <c r="M56" i="2" s="1"/>
  <c r="G56" i="2"/>
  <c r="H56" i="2" s="1"/>
  <c r="V55" i="2"/>
  <c r="W55" i="2" s="1"/>
  <c r="Q55" i="2"/>
  <c r="R55" i="2" s="1"/>
  <c r="L55" i="2"/>
  <c r="M55" i="2" s="1"/>
  <c r="G55" i="2"/>
  <c r="H55" i="2" s="1"/>
  <c r="V54" i="2"/>
  <c r="W54" i="2" s="1"/>
  <c r="Q54" i="2"/>
  <c r="R54" i="2" s="1"/>
  <c r="L54" i="2"/>
  <c r="M54" i="2" s="1"/>
  <c r="G54" i="2"/>
  <c r="H54" i="2" s="1"/>
  <c r="V53" i="2"/>
  <c r="W53" i="2" s="1"/>
  <c r="Q53" i="2"/>
  <c r="R53" i="2" s="1"/>
  <c r="L53" i="2"/>
  <c r="M53" i="2" s="1"/>
  <c r="G53" i="2"/>
  <c r="H53" i="2" s="1"/>
  <c r="V52" i="2"/>
  <c r="W52" i="2" s="1"/>
  <c r="Q52" i="2"/>
  <c r="R52" i="2" s="1"/>
  <c r="L52" i="2"/>
  <c r="M52" i="2" s="1"/>
  <c r="F52" i="2"/>
  <c r="V51" i="2"/>
  <c r="W51" i="2" s="1"/>
  <c r="Q51" i="2"/>
  <c r="R51" i="2" s="1"/>
  <c r="L51" i="2"/>
  <c r="M51" i="2" s="1"/>
  <c r="G51" i="2"/>
  <c r="H51" i="2" s="1"/>
  <c r="V50" i="2"/>
  <c r="W50" i="2" s="1"/>
  <c r="L50" i="2"/>
  <c r="M50" i="2" s="1"/>
  <c r="V49" i="2"/>
  <c r="W49" i="2" s="1"/>
  <c r="Q49" i="2"/>
  <c r="R49" i="2" s="1"/>
  <c r="L49" i="2"/>
  <c r="M49" i="2" s="1"/>
  <c r="G49" i="2"/>
  <c r="H49" i="2" s="1"/>
  <c r="V48" i="2"/>
  <c r="W48" i="2" s="1"/>
  <c r="Q48" i="2"/>
  <c r="R48" i="2" s="1"/>
  <c r="L48" i="2"/>
  <c r="M48" i="2" s="1"/>
  <c r="G48" i="2"/>
  <c r="H48" i="2" s="1"/>
  <c r="V47" i="2"/>
  <c r="W47" i="2" s="1"/>
  <c r="Q47" i="2"/>
  <c r="R47" i="2" s="1"/>
  <c r="L47" i="2"/>
  <c r="M47" i="2" s="1"/>
  <c r="G47" i="2"/>
  <c r="H47" i="2" s="1"/>
  <c r="V46" i="2"/>
  <c r="W46" i="2" s="1"/>
  <c r="Q46" i="2"/>
  <c r="R46" i="2" s="1"/>
  <c r="L46" i="2"/>
  <c r="M46" i="2" s="1"/>
  <c r="G46" i="2"/>
  <c r="H46" i="2" s="1"/>
  <c r="V45" i="2"/>
  <c r="W45" i="2" s="1"/>
  <c r="Q45" i="2"/>
  <c r="R45" i="2" s="1"/>
  <c r="L45" i="2"/>
  <c r="M45" i="2" s="1"/>
  <c r="G45" i="2"/>
  <c r="H45" i="2" s="1"/>
  <c r="V44" i="2"/>
  <c r="W44" i="2" s="1"/>
  <c r="Q44" i="2"/>
  <c r="R44" i="2" s="1"/>
  <c r="L44" i="2"/>
  <c r="M44" i="2" s="1"/>
  <c r="G44" i="2"/>
  <c r="H44" i="2" s="1"/>
  <c r="V43" i="2"/>
  <c r="W43" i="2" s="1"/>
  <c r="Q43" i="2"/>
  <c r="R43" i="2" s="1"/>
  <c r="L43" i="2"/>
  <c r="M43" i="2" s="1"/>
  <c r="G43" i="2"/>
  <c r="H43" i="2" s="1"/>
  <c r="V42" i="2"/>
  <c r="W42" i="2" s="1"/>
  <c r="Q42" i="2"/>
  <c r="R42" i="2" s="1"/>
  <c r="L42" i="2"/>
  <c r="M42" i="2" s="1"/>
  <c r="G42" i="2"/>
  <c r="H42" i="2" s="1"/>
  <c r="V41" i="2"/>
  <c r="W41" i="2" s="1"/>
  <c r="Q41" i="2"/>
  <c r="R41" i="2" s="1"/>
  <c r="L41" i="2"/>
  <c r="M41" i="2" s="1"/>
  <c r="G41" i="2"/>
  <c r="H41" i="2" s="1"/>
  <c r="V40" i="2"/>
  <c r="W40" i="2" s="1"/>
  <c r="Q40" i="2"/>
  <c r="R40" i="2" s="1"/>
  <c r="L40" i="2"/>
  <c r="M40" i="2" s="1"/>
  <c r="G40" i="2"/>
  <c r="H40" i="2" s="1"/>
  <c r="V39" i="2"/>
  <c r="W39" i="2" s="1"/>
  <c r="Q39" i="2"/>
  <c r="R39" i="2" s="1"/>
  <c r="L39" i="2"/>
  <c r="M39" i="2" s="1"/>
  <c r="F39" i="2"/>
  <c r="G39" i="2" s="1"/>
  <c r="H39" i="2" s="1"/>
  <c r="V38" i="2"/>
  <c r="W38" i="2" s="1"/>
  <c r="Q38" i="2"/>
  <c r="R38" i="2" s="1"/>
  <c r="L38" i="2"/>
  <c r="M38" i="2" s="1"/>
  <c r="G38" i="2"/>
  <c r="H38" i="2" s="1"/>
  <c r="V36" i="2"/>
  <c r="W36" i="2" s="1"/>
  <c r="Q36" i="2"/>
  <c r="R36" i="2" s="1"/>
  <c r="L36" i="2"/>
  <c r="M36" i="2" s="1"/>
  <c r="G36" i="2"/>
  <c r="H36" i="2" s="1"/>
  <c r="Q35" i="2"/>
  <c r="R35" i="2" s="1"/>
  <c r="L35" i="2"/>
  <c r="M35" i="2" s="1"/>
  <c r="L34" i="2"/>
  <c r="M34" i="2" s="1"/>
  <c r="L33" i="2"/>
  <c r="M33" i="2" s="1"/>
  <c r="V31" i="2"/>
  <c r="W31" i="2" s="1"/>
  <c r="Q31" i="2"/>
  <c r="R31" i="2" s="1"/>
  <c r="L31" i="2"/>
  <c r="M31" i="2" s="1"/>
  <c r="G31" i="2"/>
  <c r="H31" i="2" s="1"/>
  <c r="V30" i="2"/>
  <c r="W30" i="2" s="1"/>
  <c r="Q30" i="2"/>
  <c r="R30" i="2" s="1"/>
  <c r="L30" i="2"/>
  <c r="M30" i="2" s="1"/>
  <c r="G30" i="2"/>
  <c r="H30" i="2" s="1"/>
  <c r="V29" i="2"/>
  <c r="W29" i="2" s="1"/>
  <c r="Q29" i="2"/>
  <c r="R29" i="2" s="1"/>
  <c r="L29" i="2"/>
  <c r="M29" i="2" s="1"/>
  <c r="G29" i="2"/>
  <c r="H29" i="2" s="1"/>
  <c r="V28" i="2"/>
  <c r="W28" i="2" s="1"/>
  <c r="Q28" i="2"/>
  <c r="R28" i="2" s="1"/>
  <c r="L28" i="2"/>
  <c r="M28" i="2" s="1"/>
  <c r="G28" i="2"/>
  <c r="H28" i="2" s="1"/>
  <c r="V27" i="2"/>
  <c r="W27" i="2" s="1"/>
  <c r="Q27" i="2"/>
  <c r="R27" i="2" s="1"/>
  <c r="L27" i="2"/>
  <c r="M27" i="2" s="1"/>
  <c r="G27" i="2"/>
  <c r="H27" i="2" s="1"/>
  <c r="V26" i="2"/>
  <c r="W26" i="2" s="1"/>
  <c r="Q26" i="2"/>
  <c r="R26" i="2" s="1"/>
  <c r="L26" i="2"/>
  <c r="M26" i="2" s="1"/>
  <c r="G26" i="2"/>
  <c r="H26" i="2" s="1"/>
  <c r="V25" i="2"/>
  <c r="W25" i="2" s="1"/>
  <c r="Q25" i="2"/>
  <c r="R25" i="2" s="1"/>
  <c r="G25" i="2"/>
  <c r="H25" i="2" s="1"/>
  <c r="V24" i="2"/>
  <c r="W24" i="2" s="1"/>
  <c r="Q24" i="2"/>
  <c r="R24" i="2" s="1"/>
  <c r="L24" i="2"/>
  <c r="M24" i="2" s="1"/>
  <c r="G24" i="2"/>
  <c r="H24" i="2" s="1"/>
  <c r="V23" i="2"/>
  <c r="W23" i="2" s="1"/>
  <c r="L23" i="2"/>
  <c r="M23" i="2" s="1"/>
  <c r="G23" i="2"/>
  <c r="H23" i="2" s="1"/>
  <c r="V22" i="2"/>
  <c r="W22" i="2" s="1"/>
  <c r="F22" i="2"/>
  <c r="V21" i="2"/>
  <c r="W21" i="2" s="1"/>
  <c r="Q21" i="2"/>
  <c r="R21" i="2" s="1"/>
  <c r="L21" i="2"/>
  <c r="M21" i="2" s="1"/>
  <c r="G21" i="2"/>
  <c r="H21" i="2" s="1"/>
  <c r="V20" i="2"/>
  <c r="W20" i="2" s="1"/>
  <c r="Q20" i="2"/>
  <c r="R20" i="2" s="1"/>
  <c r="L20" i="2"/>
  <c r="M20" i="2" s="1"/>
  <c r="G20" i="2"/>
  <c r="H20" i="2" s="1"/>
  <c r="V19" i="2"/>
  <c r="W19" i="2" s="1"/>
  <c r="L19" i="2"/>
  <c r="M19" i="2" s="1"/>
  <c r="F19" i="2"/>
  <c r="V18" i="2"/>
  <c r="W18" i="2" s="1"/>
  <c r="Q18" i="2"/>
  <c r="R18" i="2" s="1"/>
  <c r="L18" i="2"/>
  <c r="M18" i="2" s="1"/>
  <c r="G18" i="2"/>
  <c r="H18" i="2" s="1"/>
  <c r="V17" i="2"/>
  <c r="W17" i="2" s="1"/>
  <c r="Q17" i="2"/>
  <c r="R17" i="2" s="1"/>
  <c r="L17" i="2"/>
  <c r="M17" i="2" s="1"/>
  <c r="G17" i="2"/>
  <c r="H17" i="2" s="1"/>
  <c r="V16" i="2"/>
  <c r="W16" i="2" s="1"/>
  <c r="V15" i="2"/>
  <c r="W15" i="2" s="1"/>
  <c r="Q15" i="2"/>
  <c r="R15" i="2" s="1"/>
  <c r="L15" i="2"/>
  <c r="M15" i="2" s="1"/>
  <c r="G15" i="2"/>
  <c r="H15" i="2" s="1"/>
  <c r="V14" i="2"/>
  <c r="W14" i="2" s="1"/>
  <c r="V13" i="2"/>
  <c r="W13" i="2" s="1"/>
  <c r="Q14" i="2"/>
  <c r="R14" i="2" s="1"/>
  <c r="L13" i="2"/>
  <c r="M13" i="2" s="1"/>
  <c r="F13" i="2"/>
  <c r="G14" i="2"/>
  <c r="H14" i="2" s="1"/>
  <c r="V12" i="2"/>
  <c r="W12" i="2" s="1"/>
  <c r="Q12" i="2"/>
  <c r="R12" i="2" s="1"/>
  <c r="L12" i="2"/>
  <c r="M12" i="2" s="1"/>
  <c r="G12" i="2"/>
  <c r="H12" i="2" s="1"/>
  <c r="V11" i="2"/>
  <c r="W11" i="2" s="1"/>
  <c r="Q11" i="2"/>
  <c r="R11" i="2" s="1"/>
  <c r="L11" i="2"/>
  <c r="M11" i="2" s="1"/>
  <c r="G11" i="2"/>
  <c r="H11" i="2" s="1"/>
  <c r="V10" i="2"/>
  <c r="W10" i="2" s="1"/>
  <c r="F10" i="2"/>
  <c r="G10" i="2"/>
  <c r="H10" i="2" s="1"/>
  <c r="V9" i="2"/>
  <c r="W9" i="2" s="1"/>
  <c r="Q9" i="2"/>
  <c r="R9" i="2" s="1"/>
  <c r="L9" i="2"/>
  <c r="M9" i="2" s="1"/>
  <c r="G9" i="2"/>
  <c r="H9" i="2" s="1"/>
  <c r="V8" i="2"/>
  <c r="W8" i="2" s="1"/>
  <c r="Q8" i="2"/>
  <c r="R8" i="2" s="1"/>
  <c r="L8" i="2"/>
  <c r="M8" i="2" s="1"/>
  <c r="G8" i="2"/>
  <c r="H8" i="2" s="1"/>
  <c r="V7" i="2"/>
  <c r="W7" i="2" s="1"/>
  <c r="Q7" i="2"/>
  <c r="R7" i="2" s="1"/>
  <c r="L7" i="2"/>
  <c r="M7" i="2" s="1"/>
  <c r="G7" i="2"/>
  <c r="H7" i="2" s="1"/>
  <c r="V6" i="2"/>
  <c r="W6" i="2" s="1"/>
  <c r="L6" i="2"/>
  <c r="M6" i="2" s="1"/>
  <c r="G6" i="2"/>
  <c r="H6" i="2" s="1"/>
  <c r="F5" i="2"/>
  <c r="E17" i="12" l="1"/>
  <c r="E20" i="12" s="1"/>
  <c r="G15" i="12"/>
  <c r="E47" i="5"/>
  <c r="G47" i="5" s="1"/>
  <c r="H47" i="5" s="1"/>
  <c r="G27" i="5"/>
  <c r="H29" i="5"/>
  <c r="O38" i="9"/>
  <c r="Q38" i="9" s="1"/>
  <c r="R38" i="9" s="1"/>
  <c r="D47" i="11"/>
  <c r="C47" i="11"/>
  <c r="J47" i="11"/>
  <c r="AA80" i="11" s="1"/>
  <c r="T80" i="11"/>
  <c r="AC80" i="11" s="1"/>
  <c r="C80" i="11"/>
  <c r="O80" i="11"/>
  <c r="AB80" i="11" s="1"/>
  <c r="D80" i="11"/>
  <c r="L3" i="11"/>
  <c r="M3" i="11" s="1"/>
  <c r="Q3" i="11"/>
  <c r="R3" i="11" s="1"/>
  <c r="G3" i="11"/>
  <c r="H3" i="11" s="1"/>
  <c r="F38" i="9"/>
  <c r="G38" i="9" s="1"/>
  <c r="H38" i="9" s="1"/>
  <c r="G74" i="2"/>
  <c r="H74" i="2" s="1"/>
  <c r="G5" i="2"/>
  <c r="H5" i="2" s="1"/>
  <c r="Q60" i="2"/>
  <c r="R60" i="2" s="1"/>
  <c r="Q82" i="2"/>
  <c r="R82" i="2" s="1"/>
  <c r="G132" i="2"/>
  <c r="H132" i="2" s="1"/>
  <c r="G170" i="2"/>
  <c r="H170" i="2" s="1"/>
  <c r="G16" i="2"/>
  <c r="H16" i="2" s="1"/>
  <c r="Q68" i="2"/>
  <c r="R68" i="2" s="1"/>
  <c r="Q104" i="2"/>
  <c r="R104" i="2" s="1"/>
  <c r="L154" i="2"/>
  <c r="M154" i="2" s="1"/>
  <c r="G13" i="2"/>
  <c r="H13" i="2" s="1"/>
  <c r="Q16" i="2"/>
  <c r="R16" i="2" s="1"/>
  <c r="F130" i="2"/>
  <c r="F129" i="2" s="1"/>
  <c r="G129" i="2" s="1"/>
  <c r="H129" i="2" s="1"/>
  <c r="G87" i="2"/>
  <c r="H87" i="2" s="1"/>
  <c r="F4" i="2"/>
  <c r="L156" i="2"/>
  <c r="M156" i="2" s="1"/>
  <c r="G146" i="2"/>
  <c r="H146" i="2" s="1"/>
  <c r="G81" i="2"/>
  <c r="H81" i="2" s="1"/>
  <c r="L14" i="2"/>
  <c r="M14" i="2" s="1"/>
  <c r="G19" i="2"/>
  <c r="H19" i="2" s="1"/>
  <c r="Q19" i="2"/>
  <c r="R19" i="2" s="1"/>
  <c r="F103" i="2"/>
  <c r="G103" i="2" s="1"/>
  <c r="H103" i="2" s="1"/>
  <c r="G140" i="2"/>
  <c r="H140" i="2" s="1"/>
  <c r="L146" i="2"/>
  <c r="M146" i="2" s="1"/>
  <c r="F164" i="2"/>
  <c r="G164" i="2" s="1"/>
  <c r="H164" i="2" s="1"/>
  <c r="Q115" i="2"/>
  <c r="R115" i="2" s="1"/>
  <c r="Q66" i="2"/>
  <c r="R66" i="2" s="1"/>
  <c r="Q50" i="2"/>
  <c r="R50" i="2" s="1"/>
  <c r="L140" i="2"/>
  <c r="M140" i="2" s="1"/>
  <c r="L164" i="2"/>
  <c r="M164" i="2" s="1"/>
  <c r="L68" i="2"/>
  <c r="M68" i="2" s="1"/>
  <c r="F82" i="2"/>
  <c r="G82" i="2" s="1"/>
  <c r="H82" i="2" s="1"/>
  <c r="Q90" i="2"/>
  <c r="R90" i="2" s="1"/>
  <c r="Q96" i="2"/>
  <c r="R96" i="2" s="1"/>
  <c r="U16" i="9"/>
  <c r="V17" i="9"/>
  <c r="W17" i="9" s="1"/>
  <c r="L17" i="9"/>
  <c r="M17" i="9" s="1"/>
  <c r="K47" i="11"/>
  <c r="L25" i="11"/>
  <c r="M25" i="11" s="1"/>
  <c r="P82" i="11"/>
  <c r="Q82" i="11" s="1"/>
  <c r="R82" i="11" s="1"/>
  <c r="Q83" i="11"/>
  <c r="R83" i="11" s="1"/>
  <c r="G59" i="11"/>
  <c r="H59" i="11" s="1"/>
  <c r="F80" i="11"/>
  <c r="G80" i="11" s="1"/>
  <c r="H80" i="11" s="1"/>
  <c r="P80" i="11"/>
  <c r="Q80" i="11" s="1"/>
  <c r="R80" i="11" s="1"/>
  <c r="Q59" i="11"/>
  <c r="R59" i="11" s="1"/>
  <c r="K59" i="11"/>
  <c r="K84" i="11"/>
  <c r="L84" i="11" s="1"/>
  <c r="M84" i="11" s="1"/>
  <c r="L70" i="11"/>
  <c r="M70" i="11" s="1"/>
  <c r="U84" i="11"/>
  <c r="V84" i="11" s="1"/>
  <c r="W84" i="11" s="1"/>
  <c r="V70" i="11"/>
  <c r="W70" i="11" s="1"/>
  <c r="V83" i="11"/>
  <c r="W83" i="11" s="1"/>
  <c r="Q47" i="11"/>
  <c r="R47" i="11" s="1"/>
  <c r="L83" i="11"/>
  <c r="M83" i="11" s="1"/>
  <c r="F47" i="11"/>
  <c r="G47" i="11" s="1"/>
  <c r="H47" i="11" s="1"/>
  <c r="G25" i="11"/>
  <c r="H25" i="11" s="1"/>
  <c r="U47" i="11"/>
  <c r="V47" i="11" s="1"/>
  <c r="W47" i="11" s="1"/>
  <c r="V25" i="11"/>
  <c r="W25" i="11" s="1"/>
  <c r="Q25" i="11"/>
  <c r="R25" i="11" s="1"/>
  <c r="F82" i="11"/>
  <c r="G82" i="11" s="1"/>
  <c r="H82" i="11" s="1"/>
  <c r="G83" i="11"/>
  <c r="H83" i="11" s="1"/>
  <c r="U59" i="11"/>
  <c r="P17" i="12"/>
  <c r="P20" i="12" s="1"/>
  <c r="Q15" i="12"/>
  <c r="K17" i="12"/>
  <c r="K20" i="12" s="1"/>
  <c r="U20" i="12"/>
  <c r="V20" i="12" s="1"/>
  <c r="W20" i="12" s="1"/>
  <c r="V17" i="12"/>
  <c r="W17" i="12" s="1"/>
  <c r="V5" i="2"/>
  <c r="W5" i="2" s="1"/>
  <c r="M4" i="2"/>
  <c r="Q10" i="2"/>
  <c r="R10" i="2" s="1"/>
  <c r="G22" i="2"/>
  <c r="H22" i="2" s="1"/>
  <c r="L22" i="2"/>
  <c r="M22" i="2" s="1"/>
  <c r="L5" i="2"/>
  <c r="M5" i="2" s="1"/>
  <c r="L16" i="2"/>
  <c r="M16" i="2" s="1"/>
  <c r="Q5" i="2"/>
  <c r="R5" i="2" s="1"/>
  <c r="L10" i="2"/>
  <c r="M10" i="2" s="1"/>
  <c r="Q13" i="2"/>
  <c r="R13" i="2" s="1"/>
  <c r="F34" i="2"/>
  <c r="G35" i="2"/>
  <c r="H35" i="2" s="1"/>
  <c r="V170" i="2"/>
  <c r="W170" i="2" s="1"/>
  <c r="V164" i="2"/>
  <c r="W164" i="2" s="1"/>
  <c r="G59" i="2"/>
  <c r="H59" i="2" s="1"/>
  <c r="Q63" i="2"/>
  <c r="R63" i="2" s="1"/>
  <c r="Q119" i="2"/>
  <c r="R119" i="2" s="1"/>
  <c r="Q6" i="2"/>
  <c r="R6" i="2" s="1"/>
  <c r="G68" i="2"/>
  <c r="H68" i="2" s="1"/>
  <c r="F50" i="2"/>
  <c r="G50" i="2" s="1"/>
  <c r="H50" i="2" s="1"/>
  <c r="G52" i="2"/>
  <c r="H52" i="2" s="1"/>
  <c r="L114" i="2"/>
  <c r="M114" i="2" s="1"/>
  <c r="V81" i="2"/>
  <c r="W81" i="2" s="1"/>
  <c r="V35" i="2"/>
  <c r="W35" i="2" s="1"/>
  <c r="L130" i="2"/>
  <c r="M130" i="2" s="1"/>
  <c r="L115" i="2"/>
  <c r="M115" i="2" s="1"/>
  <c r="V66" i="2"/>
  <c r="W66" i="2" s="1"/>
  <c r="Q34" i="2"/>
  <c r="R34" i="2" s="1"/>
  <c r="G162" i="2"/>
  <c r="H162" i="2" s="1"/>
  <c r="F154" i="2"/>
  <c r="G154" i="2" s="1"/>
  <c r="H154" i="2" s="1"/>
  <c r="L103" i="2"/>
  <c r="M103" i="2" s="1"/>
  <c r="V129" i="2"/>
  <c r="W129" i="2" s="1"/>
  <c r="V130" i="2"/>
  <c r="W130" i="2" s="1"/>
  <c r="G96" i="2"/>
  <c r="H96" i="2" s="1"/>
  <c r="Q109" i="2"/>
  <c r="R109" i="2" s="1"/>
  <c r="V103" i="2"/>
  <c r="W103" i="2" s="1"/>
  <c r="Q114" i="2"/>
  <c r="R114" i="2" s="1"/>
  <c r="V115" i="2"/>
  <c r="W115" i="2" s="1"/>
  <c r="G119" i="2"/>
  <c r="H119" i="2" s="1"/>
  <c r="L81" i="2"/>
  <c r="M81" i="2" s="1"/>
  <c r="L82" i="2"/>
  <c r="M82" i="2" s="1"/>
  <c r="L87" i="2"/>
  <c r="M87" i="2" s="1"/>
  <c r="Q162" i="2"/>
  <c r="R162" i="2" s="1"/>
  <c r="Q23" i="2"/>
  <c r="R23" i="2" s="1"/>
  <c r="Q22" i="2"/>
  <c r="R22" i="2" s="1"/>
  <c r="V60" i="2"/>
  <c r="W60" i="2" s="1"/>
  <c r="G104" i="2"/>
  <c r="H104" i="2" s="1"/>
  <c r="G115" i="2"/>
  <c r="H115" i="2" s="1"/>
  <c r="Q146" i="2"/>
  <c r="R146" i="2" s="1"/>
  <c r="Q164" i="2"/>
  <c r="R164" i="2" s="1"/>
  <c r="Q165" i="2"/>
  <c r="R165" i="2" s="1"/>
  <c r="L66" i="2"/>
  <c r="M66" i="2" s="1"/>
  <c r="AE80" i="11" l="1"/>
  <c r="G17" i="12"/>
  <c r="H15" i="12"/>
  <c r="G34" i="5"/>
  <c r="H34" i="5" s="1"/>
  <c r="H27" i="5"/>
  <c r="G130" i="2"/>
  <c r="H130" i="2" s="1"/>
  <c r="F163" i="2"/>
  <c r="G163" i="2" s="1"/>
  <c r="H163" i="2" s="1"/>
  <c r="L47" i="11"/>
  <c r="M47" i="11" s="1"/>
  <c r="F66" i="2"/>
  <c r="F58" i="2" s="1"/>
  <c r="G58" i="2" s="1"/>
  <c r="H58" i="2" s="1"/>
  <c r="Q103" i="2"/>
  <c r="R103" i="2" s="1"/>
  <c r="Q33" i="2"/>
  <c r="R33" i="2" s="1"/>
  <c r="V4" i="2"/>
  <c r="W4" i="2" s="1"/>
  <c r="G3" i="2"/>
  <c r="H3" i="2" s="1"/>
  <c r="K38" i="9"/>
  <c r="L38" i="9" s="1"/>
  <c r="M38" i="9" s="1"/>
  <c r="L16" i="9"/>
  <c r="M16" i="9" s="1"/>
  <c r="V16" i="9"/>
  <c r="W16" i="9" s="1"/>
  <c r="U38" i="9"/>
  <c r="V38" i="9" s="1"/>
  <c r="W38" i="9" s="1"/>
  <c r="K80" i="11"/>
  <c r="L80" i="11" s="1"/>
  <c r="M80" i="11" s="1"/>
  <c r="L59" i="11"/>
  <c r="M59" i="11" s="1"/>
  <c r="V59" i="11"/>
  <c r="W59" i="11" s="1"/>
  <c r="U80" i="11"/>
  <c r="V80" i="11" s="1"/>
  <c r="W80" i="11" s="1"/>
  <c r="K82" i="11"/>
  <c r="L82" i="11" s="1"/>
  <c r="M82" i="11" s="1"/>
  <c r="U82" i="11"/>
  <c r="V82" i="11" s="1"/>
  <c r="W82" i="11" s="1"/>
  <c r="M15" i="12"/>
  <c r="L17" i="12"/>
  <c r="Q17" i="12"/>
  <c r="R15" i="12"/>
  <c r="G4" i="2"/>
  <c r="H4" i="2" s="1"/>
  <c r="Q59" i="2"/>
  <c r="R59" i="2" s="1"/>
  <c r="Q130" i="2"/>
  <c r="R130" i="2" s="1"/>
  <c r="Q129" i="2"/>
  <c r="R129" i="2" s="1"/>
  <c r="L3" i="2"/>
  <c r="M3" i="2" s="1"/>
  <c r="L163" i="2"/>
  <c r="M163" i="2" s="1"/>
  <c r="V163" i="2"/>
  <c r="W163" i="2" s="1"/>
  <c r="V3" i="2"/>
  <c r="W3" i="2" s="1"/>
  <c r="V58" i="2"/>
  <c r="W58" i="2" s="1"/>
  <c r="V34" i="2"/>
  <c r="W34" i="2" s="1"/>
  <c r="L129" i="2"/>
  <c r="M129" i="2" s="1"/>
  <c r="G34" i="2"/>
  <c r="H34" i="2" s="1"/>
  <c r="F33" i="2"/>
  <c r="G20" i="12" l="1"/>
  <c r="H20" i="12" s="1"/>
  <c r="H17" i="12"/>
  <c r="G66" i="2"/>
  <c r="H66" i="2" s="1"/>
  <c r="M17" i="12"/>
  <c r="L20" i="12"/>
  <c r="M20" i="12" s="1"/>
  <c r="Q20" i="12"/>
  <c r="R20" i="12" s="1"/>
  <c r="R17" i="12"/>
  <c r="G33" i="2"/>
  <c r="H33" i="2" s="1"/>
  <c r="F32" i="2"/>
  <c r="Q4" i="2"/>
  <c r="R4" i="2" s="1"/>
  <c r="L58" i="2"/>
  <c r="M58" i="2" s="1"/>
  <c r="V33" i="2"/>
  <c r="W33" i="2" s="1"/>
  <c r="Q3" i="2" l="1"/>
  <c r="R3" i="2" s="1"/>
  <c r="Q163" i="2"/>
  <c r="R163" i="2" s="1"/>
  <c r="F144" i="2"/>
  <c r="G32" i="2"/>
  <c r="H32" i="2" s="1"/>
  <c r="Q58" i="2"/>
  <c r="R58" i="2" s="1"/>
  <c r="V32" i="2"/>
  <c r="W32" i="2" s="1"/>
  <c r="L32" i="2"/>
  <c r="M32" i="2" s="1"/>
  <c r="V144" i="2" l="1"/>
  <c r="W144" i="2" s="1"/>
  <c r="V172" i="2"/>
  <c r="W172" i="2" s="1"/>
  <c r="L172" i="2"/>
  <c r="M172" i="2" s="1"/>
  <c r="L144" i="2"/>
  <c r="M144" i="2" s="1"/>
  <c r="Q32" i="2"/>
  <c r="R32" i="2" s="1"/>
  <c r="G144" i="2"/>
  <c r="H144" i="2" s="1"/>
  <c r="F172" i="2"/>
  <c r="G172" i="2" s="1"/>
  <c r="H172" i="2" s="1"/>
  <c r="F145" i="2"/>
  <c r="L145" i="2" l="1"/>
  <c r="M145" i="2" s="1"/>
  <c r="G145" i="2"/>
  <c r="H145" i="2" s="1"/>
  <c r="F153" i="2"/>
  <c r="Q172" i="2"/>
  <c r="R172" i="2" s="1"/>
  <c r="Q144" i="2"/>
  <c r="R144" i="2" s="1"/>
  <c r="V145" i="2"/>
  <c r="W145" i="2" s="1"/>
  <c r="V173" i="2" l="1"/>
  <c r="W173" i="2" s="1"/>
  <c r="V153" i="2"/>
  <c r="W153" i="2" s="1"/>
  <c r="Q145" i="2"/>
  <c r="R145" i="2" s="1"/>
  <c r="F173" i="2"/>
  <c r="G173" i="2" s="1"/>
  <c r="H173" i="2" s="1"/>
  <c r="G153" i="2"/>
  <c r="H153" i="2" s="1"/>
  <c r="L153" i="2"/>
  <c r="M153" i="2" s="1"/>
  <c r="M173" i="2"/>
  <c r="Q173" i="2" l="1"/>
  <c r="R173" i="2" s="1"/>
  <c r="Q153" i="2"/>
  <c r="R153" i="2" s="1"/>
  <c r="V7" i="5"/>
  <c r="W7" i="5" s="1"/>
  <c r="T5" i="5"/>
  <c r="V5" i="5" s="1"/>
  <c r="W5" i="5" s="1"/>
  <c r="V6" i="5"/>
  <c r="W6" i="5" s="1"/>
  <c r="T19" i="5" l="1"/>
  <c r="V19" i="5" l="1"/>
  <c r="W19" i="5" s="1"/>
  <c r="T47" i="5"/>
  <c r="V47" i="5" s="1"/>
  <c r="W47" i="5" s="1"/>
</calcChain>
</file>

<file path=xl/sharedStrings.xml><?xml version="1.0" encoding="utf-8"?>
<sst xmlns="http://schemas.openxmlformats.org/spreadsheetml/2006/main" count="1192" uniqueCount="715">
  <si>
    <t>Kods</t>
  </si>
  <si>
    <r>
      <t>Nosaukums</t>
    </r>
    <r>
      <rPr>
        <vertAlign val="superscript"/>
        <sz val="12"/>
        <rFont val="Times New Roman"/>
        <family val="1"/>
      </rPr>
      <t>1</t>
    </r>
  </si>
  <si>
    <t>2024.gada izpilde</t>
  </si>
  <si>
    <t>2025.gada
 plāns</t>
  </si>
  <si>
    <t>Plāns periodam no 2025. gada sākuma līdz I ceturkšņa beigām</t>
  </si>
  <si>
    <t>Izpilde periodā no 2025. gada sākuma līdz I ceturkšņa beigām</t>
  </si>
  <si>
    <t>Novirze no 2025. gada pārskata perioda plāna, euro</t>
  </si>
  <si>
    <t>Novirze no 2025. gada pārskata perioda plāna, %</t>
  </si>
  <si>
    <r>
      <t>Skaidrojumi</t>
    </r>
    <r>
      <rPr>
        <vertAlign val="superscript"/>
        <sz val="12"/>
        <rFont val="Times New Roman"/>
        <family val="1"/>
      </rPr>
      <t>2</t>
    </r>
  </si>
  <si>
    <t>Plāns periodam no 2025. gada sākuma līdz II ceturkšņa beigām</t>
  </si>
  <si>
    <t>Izpilde periodā no 2025. gada sākuma līdz II ceturkšņa beigām</t>
  </si>
  <si>
    <t>Plāns periodam no 2025. gada sākuma līdz III ceturkšņa beigām</t>
  </si>
  <si>
    <t>Izpilde periodā no 2025. gada sākuma līdz III ceturkšņa beigām</t>
  </si>
  <si>
    <t>Plāns periodam no 2025. gada sākuma līdz IV ceturkšņa beigām</t>
  </si>
  <si>
    <t>Izpilde periodā no 2025. gada sākuma līdz IV ceturkšņa beigām</t>
  </si>
  <si>
    <t>A</t>
  </si>
  <si>
    <t>I   IEŅĒMUMI NO SAIMNIECISKĀS DARBĪBAS KOPĀ</t>
  </si>
  <si>
    <t>0010</t>
  </si>
  <si>
    <t>Valsts budžeta līdzekļi</t>
  </si>
  <si>
    <t>00110</t>
  </si>
  <si>
    <t>Valsts apmaksātie veselības aprūpes pakalpojumi</t>
  </si>
  <si>
    <t>00111</t>
  </si>
  <si>
    <t xml:space="preserve">Stacionārai palīdzībai </t>
  </si>
  <si>
    <t>00112</t>
  </si>
  <si>
    <t>Pacientu iemaksas par atbrīvotajām kategorijām (stacionāram)</t>
  </si>
  <si>
    <t>00113</t>
  </si>
  <si>
    <t>Ambulatorai palīdzībai</t>
  </si>
  <si>
    <t>00114</t>
  </si>
  <si>
    <t>Pacientu iemaksas par atbrīvotajām kategorijām (ambulatorai p.)</t>
  </si>
  <si>
    <t>00120</t>
  </si>
  <si>
    <t>Valsts apmaksātie sociālie pakalpojumi</t>
  </si>
  <si>
    <t>00121</t>
  </si>
  <si>
    <t>Sociālās aprūpes pakalpojumi</t>
  </si>
  <si>
    <t>00122</t>
  </si>
  <si>
    <t>Sociālās rehabilitācijas pakalpojumi</t>
  </si>
  <si>
    <t>00130</t>
  </si>
  <si>
    <t>Ieņēmumi par izglītojošo un zinātnisko darbību</t>
  </si>
  <si>
    <t>00131</t>
  </si>
  <si>
    <t>Ieņēmumi par rezidentu apmācību</t>
  </si>
  <si>
    <t>00132</t>
  </si>
  <si>
    <t xml:space="preserve">Ieņēmumi par valsts finansēto zinātnisko darbību </t>
  </si>
  <si>
    <t>00140</t>
  </si>
  <si>
    <t>Citi ieņēmumi</t>
  </si>
  <si>
    <t>00141</t>
  </si>
  <si>
    <r>
      <t>Citi ieņēmumi (piem.reģistru uztur., retajiem medikam. utt.)</t>
    </r>
    <r>
      <rPr>
        <vertAlign val="superscript"/>
        <sz val="12"/>
        <rFont val="Times New Roman"/>
        <family val="1"/>
      </rPr>
      <t>3</t>
    </r>
  </si>
  <si>
    <t>00142</t>
  </si>
  <si>
    <r>
      <t>Valsts pārvaldes deleģēto uzdevumu veikšana</t>
    </r>
    <r>
      <rPr>
        <vertAlign val="superscript"/>
        <sz val="12"/>
        <rFont val="Times New Roman"/>
        <family val="1"/>
      </rPr>
      <t>4</t>
    </r>
    <r>
      <rPr>
        <sz val="12"/>
        <rFont val="Times New Roman"/>
        <family val="1"/>
      </rPr>
      <t xml:space="preserve"> Bezmaksas medikamenti</t>
    </r>
  </si>
  <si>
    <t>0020</t>
  </si>
  <si>
    <t>Ieņēmumi no pašvaldības budžeta</t>
  </si>
  <si>
    <t>0021</t>
  </si>
  <si>
    <t>Veselības aprūpes pakalpojumiem</t>
  </si>
  <si>
    <t>0022</t>
  </si>
  <si>
    <t>Sociāliem pakalpojumiem</t>
  </si>
  <si>
    <t>0030</t>
  </si>
  <si>
    <t>Uzņēmuma nopelnītie līdzekļi</t>
  </si>
  <si>
    <t>00311</t>
  </si>
  <si>
    <t>Maksas veselības aprūpes pakalpojumi</t>
  </si>
  <si>
    <t>00312</t>
  </si>
  <si>
    <t>Maksas sociālie pakalpojumi</t>
  </si>
  <si>
    <t>00313</t>
  </si>
  <si>
    <t>Pārējie saimnieciskās darbības ieņēmumi</t>
  </si>
  <si>
    <t>00314</t>
  </si>
  <si>
    <t>Ieņēmumi no nomas</t>
  </si>
  <si>
    <t>0040</t>
  </si>
  <si>
    <t>Saņemtās pacientu iemaksas (stacionāram)</t>
  </si>
  <si>
    <t>0050</t>
  </si>
  <si>
    <t>Saņemtās pacientu iemaksas (ambulatorai p.)</t>
  </si>
  <si>
    <t>0060</t>
  </si>
  <si>
    <t>Ziedojumi</t>
  </si>
  <si>
    <t>0070</t>
  </si>
  <si>
    <t>Pacienta līdzmaksājums par operāciju</t>
  </si>
  <si>
    <t>0080</t>
  </si>
  <si>
    <t>Citi ieņēmumi (Ieņēmumi no bez atlīdzības saņemtajām precēm u.tml.)</t>
  </si>
  <si>
    <t xml:space="preserve"> </t>
  </si>
  <si>
    <t>B</t>
  </si>
  <si>
    <t>II  IZDEVUMI SAIMNIECISKĀS DARBĪBAS NODROŠINĀŠANAI KOPĀ</t>
  </si>
  <si>
    <t>1000</t>
  </si>
  <si>
    <t>ATLĪDZĪBA</t>
  </si>
  <si>
    <t>Atalgojums - kopā</t>
  </si>
  <si>
    <t>Mēneša amatalga</t>
  </si>
  <si>
    <t>Mēneša amatalga valdei</t>
  </si>
  <si>
    <t>Mēneša amatalga padomei</t>
  </si>
  <si>
    <t>Mēneša amatalga pārējiem darbiniekiem</t>
  </si>
  <si>
    <t>Piemaksas, prēmijas un naudas balvas</t>
  </si>
  <si>
    <t>Piemaksa par nakts darbu</t>
  </si>
  <si>
    <t>Samaksa par virsstundu darbu un darbu svētku dienās</t>
  </si>
  <si>
    <t>Piemaksa par izdienu</t>
  </si>
  <si>
    <t>Piemaksa par darbu īpašos apstākļos, speciālās piemaksas</t>
  </si>
  <si>
    <t>Piemaksa par personisko darba ieguldījumu un darba kvalitāti</t>
  </si>
  <si>
    <t>Piemaksa par papildu darbu</t>
  </si>
  <si>
    <t>Prēmijas un naudas balvas</t>
  </si>
  <si>
    <t>Citas normatīvajos aktos noteiktās piemaksas, kas nav iepriekš klasificētas</t>
  </si>
  <si>
    <t>Atalgojums fiziskajām personām uz tiesiskās attiecības regulējošu dokumentu pamata</t>
  </si>
  <si>
    <t>Darba devēja piešķirtie labumi un maksājumi</t>
  </si>
  <si>
    <t>Darba devēja valsts sociālās apdrošināšanas obligātās iemaksas, sociāla rakstura pabalsti un kompensācijas</t>
  </si>
  <si>
    <t>Darba devēja valsts sociālās apdrošināšanas obligātās iemaksas</t>
  </si>
  <si>
    <t>Darba devēja pabalsti, kompensācijas un citi maksājumi</t>
  </si>
  <si>
    <t>Darba devēja sociāla rakstura pabalsti un kompensācijas, no kuriem aprēķina ienākuma nodokli un valsts sociālās apdrošināšanas obligātās iemaksas</t>
  </si>
  <si>
    <t>Studējošo kredītu dzēšana no piešķirtajiem budžeta līdzekļiem</t>
  </si>
  <si>
    <t>Mācību maksas kompensācija</t>
  </si>
  <si>
    <t>Darba devēja izdevumi veselības, dzīvības un nelaimes gadījumu apdrošināšanai</t>
  </si>
  <si>
    <t>Darba devēja pabalsti un kompensācijas, no kā neaprēķina iedzīvotāju ienākuma nodokli un valsts sociālās apdrošināšanas obligātās iemaksas</t>
  </si>
  <si>
    <t>PRECES UN PAKALPOJUMI</t>
  </si>
  <si>
    <t>Mācību, darba un dienesta komandējumi, darba braucieni</t>
  </si>
  <si>
    <t>Iekšzemes mācību, darba un dienesta komandējumi, dienesta, darba braucieni</t>
  </si>
  <si>
    <t>Dienas nauda</t>
  </si>
  <si>
    <t>Pārējie komandējumu un darba braucienu izdevumi</t>
  </si>
  <si>
    <t>Ārvalstu mācību, darba un dienesta komandējumi, dienesta, darba braucieni</t>
  </si>
  <si>
    <t>Pakalpojumi</t>
  </si>
  <si>
    <t>Izdevumi par sakaru pakalpojumiem</t>
  </si>
  <si>
    <t>Izdevumi par komunālajiem pakalpojumiem</t>
  </si>
  <si>
    <t>Izdevumi par siltumenerģiju</t>
  </si>
  <si>
    <t>Izdevumi par ūdeni un kanalizāciju</t>
  </si>
  <si>
    <t>Izdevumi par elektroenerģiju</t>
  </si>
  <si>
    <t>Izdevumi par atkritumu savākšanu, izvešanu no apdzīvotām vietām un teritorijām ārpus apdzīvotām vietām un atkritumu utilizāciju</t>
  </si>
  <si>
    <t>Izdevumi par pārējiem komunālajiem pakalpojumiem</t>
  </si>
  <si>
    <t>Iestādes administratīvie izdevumi un ar iestādes darbības nodrošināšanu
 saistītie izdevumi</t>
  </si>
  <si>
    <t>Izdevumi iestādes sabiedrisko aktivitāšu īstenošanai</t>
  </si>
  <si>
    <t>Izdevumi par profesionālās darbības pakalpojumiem</t>
  </si>
  <si>
    <t>Izdevumi par transporta pakalpojumiem</t>
  </si>
  <si>
    <t>Normatīvajos aktos noteiktie veselības un fiziskās sagatavotības pārbaudes izdevumi</t>
  </si>
  <si>
    <t>Izdevumi par saņemtajiem mācību pakalpojumiem</t>
  </si>
  <si>
    <t>Maksājumu pakalpojumi un komisijas</t>
  </si>
  <si>
    <t>Pārējie neklasificētie pakalpojumi</t>
  </si>
  <si>
    <t>Remontdarbi un iestāžu uzturēšanas pakalpojumi (izņemot kapitālo remontu)</t>
  </si>
  <si>
    <t>Ēku, būvju un telpu būvdarbi</t>
  </si>
  <si>
    <t>Transportlīdzekļu uzturēšana un remonts</t>
  </si>
  <si>
    <t>Iekārtas, inventāra un aparatūras remonts, tehniskā apkalpošana</t>
  </si>
  <si>
    <t xml:space="preserve">Nekustamā īpašuma uzturēšana </t>
  </si>
  <si>
    <t>Apdrošināšanas izdevumi</t>
  </si>
  <si>
    <t>Pārējie remontdarbu un iestāžu uzturēšanas pakalpojumi</t>
  </si>
  <si>
    <t>Informācijas tehnoloģiju pakalpojumi</t>
  </si>
  <si>
    <t>Īre un noma</t>
  </si>
  <si>
    <t>Ēku, telpu īre un noma</t>
  </si>
  <si>
    <t>Transportlīdzekļu noma</t>
  </si>
  <si>
    <t>Zemes noma</t>
  </si>
  <si>
    <t>Iekārtu, aparatūras un inventāra īre un noma</t>
  </si>
  <si>
    <t>Pārējā noma</t>
  </si>
  <si>
    <t>Pārējie pakalpojumi</t>
  </si>
  <si>
    <t>Izdevumi, kas saistīti ar operatīvo darbību</t>
  </si>
  <si>
    <t>Izdevumi par tiesvedības darbiem</t>
  </si>
  <si>
    <t>Maksa par zinātniskās pētniecības darbu izpildi</t>
  </si>
  <si>
    <t>Ar brīvprātīgā darba veikšanu saistītie izdevumi</t>
  </si>
  <si>
    <t>Izdevumi juridiskās palīdzības sniedzējiem un zvērinātiem tiesu izpildītājiem</t>
  </si>
  <si>
    <t>Maksājumi par parāda apkalpošanu un komisijas maksas par izmantotajiem atvasinātajiem finanšu instrumentiem</t>
  </si>
  <si>
    <t>Krājumi, materiāli, energoresursi, preces, biroja preces un inventārs, kurus neuzskaita kodā 5000</t>
  </si>
  <si>
    <t>Izdevumi par dažādām precēm un inventāru</t>
  </si>
  <si>
    <t>Biroja preces</t>
  </si>
  <si>
    <t>Inventārs</t>
  </si>
  <si>
    <t>Darba aizsardzības līdzekļi</t>
  </si>
  <si>
    <t>Izdevumi par precēm iestādes sabiedrisko aktivitāšu īstenošanai</t>
  </si>
  <si>
    <t>Kurināmais un enerģētiskie materiāli</t>
  </si>
  <si>
    <t>Kurināmais</t>
  </si>
  <si>
    <t>Degviela</t>
  </si>
  <si>
    <t>Pārējie enerģētiskie materiāli</t>
  </si>
  <si>
    <t>Materiāli un izejvielas palīgražošanai</t>
  </si>
  <si>
    <t>Zāles, ķimikālijas, laboratorijas preces, medicīniskās ierīces, medicīniskie instrumenti, laboratorijas dzīvnieki un to uzturēšana</t>
  </si>
  <si>
    <t>Zāles, ķimikālijas, laboratorijas preces</t>
  </si>
  <si>
    <t>Asins iegāde</t>
  </si>
  <si>
    <t>Medicīnas preces un instrumenti, laboratorijas dzīvnieki un to uzturēšana</t>
  </si>
  <si>
    <t>Iestāžu uzturēšanas materiāli un preces</t>
  </si>
  <si>
    <t>Valsts un pašvaldību aprūpē, apgādē un dienestā (amatā) esošo personu uzturēšana</t>
  </si>
  <si>
    <t>Mīkstais inventārs</t>
  </si>
  <si>
    <t>Virtuves inventārs, trauki un galda piederumi</t>
  </si>
  <si>
    <t>Ēdināšanas izdevumi</t>
  </si>
  <si>
    <t>Formas tērpi un speciālais apģērbs</t>
  </si>
  <si>
    <t>Apdrošināšanas izdevumi veselības, dzīvības un nelaimes gadījumu apdrošināšanai</t>
  </si>
  <si>
    <t>Pārējie valsts un pašvaldību aprūpē un apgādē esošo personu uzturēšanas izdevumi, kuri nav minēti citos koda 2360 apakškodos</t>
  </si>
  <si>
    <t>Mācību līdzekļi un materiāli</t>
  </si>
  <si>
    <t>Specifiskie materiāli un inventārs</t>
  </si>
  <si>
    <t>Pārējās preces</t>
  </si>
  <si>
    <t>Nodokļu, nodevu un sankciju maksājumi</t>
  </si>
  <si>
    <t>Nodokļu un nodevu maksājumi</t>
  </si>
  <si>
    <t>Pievienotās vērtības nodokļa maksājumi</t>
  </si>
  <si>
    <t>Nekustamā īpašuma nodokļa maksājumi</t>
  </si>
  <si>
    <t>Iedzīvotāju ienākuma nodoklis (no maksātnespējīgā darba devēja darbinieku prasījumu summām)</t>
  </si>
  <si>
    <t>Dabas resursu nodokļa maksājumi</t>
  </si>
  <si>
    <t>Valsts sociālās apdrošināšanas  obligātās iemaksas (no maksātnespējīga darba devēja darbinieku prasījumu summām)</t>
  </si>
  <si>
    <t>Uzņēmējdarbības riska valsts nodeva</t>
  </si>
  <si>
    <t>Pārējie pārskaitītie nodokļi un nodevas</t>
  </si>
  <si>
    <t>Maksājumi par budžeta iestādēm piemērotajām sankcijām</t>
  </si>
  <si>
    <t>Pakalpojumi, kurus budžeta iestādes apmaksā noteikto funkciju ietvaros, kas nav iestādes administratīvie izdevumi</t>
  </si>
  <si>
    <t>PROCENTU IZDEVUMI</t>
  </si>
  <si>
    <t>Procentu maksājumi ārvalstu un starptautiskajām finanšu institūcijām</t>
  </si>
  <si>
    <t>Procentu maksājumi iekšzemes kredītiestādēm</t>
  </si>
  <si>
    <t>Pārējie procentu maksājumi</t>
  </si>
  <si>
    <t>C</t>
  </si>
  <si>
    <t>KOPĀ IZDEVUMI</t>
  </si>
  <si>
    <t>D</t>
  </si>
  <si>
    <t>PEĻŅA PIRMS AMORTIZĀCIJAS UN PĀRĒJIEM IEŅĒMUMIEM</t>
  </si>
  <si>
    <t>Nolietojums</t>
  </si>
  <si>
    <t>Nemateriālo ieguldījumu nolietojums</t>
  </si>
  <si>
    <t>Pamatlīdzekļu nolietojums</t>
  </si>
  <si>
    <t>Pamatlīdzekļu nolietojums (bez administrācijas un ēdināšanas izmaksām)</t>
  </si>
  <si>
    <t>Administratīvās daļas pamatlīdzekļu nolietojums</t>
  </si>
  <si>
    <t>Pamatlīdzekļu nolietojums, kas saistīts ar ēdināšanas nodrošināšanu</t>
  </si>
  <si>
    <t>Ieņēmumos ieskaitītās dotācijas, dāvinājumi atbilstoši dāvināto pamatlīdzekļu nolietojumam par pārskata periodu</t>
  </si>
  <si>
    <t>E</t>
  </si>
  <si>
    <t>PEĻŅA PIRMS PĀRĒJIEM IEŅĒMUMIEM, IZDEVUMIEM UN ĀRKĀRTAS IEŅĒMUMIEM</t>
  </si>
  <si>
    <t>0100</t>
  </si>
  <si>
    <t>III  PĀRĒJIE IEŅĒMUMI</t>
  </si>
  <si>
    <t>0110</t>
  </si>
  <si>
    <t>Depozītnoguldījumi</t>
  </si>
  <si>
    <t>0120</t>
  </si>
  <si>
    <t>Saņemtās soda naudas</t>
  </si>
  <si>
    <t>0130</t>
  </si>
  <si>
    <t>Ieņēmumi no pārdotiem materiāliem un pamatlīdzekļiem</t>
  </si>
  <si>
    <t>0140</t>
  </si>
  <si>
    <t>Atmaksātās mācību maksas</t>
  </si>
  <si>
    <t>0150</t>
  </si>
  <si>
    <t xml:space="preserve">Ieņēmumi no pamatlīdzekļu izslēgšanas </t>
  </si>
  <si>
    <t>0170</t>
  </si>
  <si>
    <t>Ieņēmumuos ieskaitītās pārvērtēšanas rezerves samazinājums</t>
  </si>
  <si>
    <t>0180</t>
  </si>
  <si>
    <t>Finansējums valsts galvotā aizdevuma saistību atmaksas nodrošināšanai</t>
  </si>
  <si>
    <t>0190</t>
  </si>
  <si>
    <t>F</t>
  </si>
  <si>
    <t>III IEŅĒMUMI PAVISAM (I+III)</t>
  </si>
  <si>
    <t>IV  PĀRĒJIE IZDEVUMI</t>
  </si>
  <si>
    <t>Zaudējumi no valūtas kursa svārstībām</t>
  </si>
  <si>
    <t>Izdevumi no valūtas konvertācijas</t>
  </si>
  <si>
    <t>Norakstīto pamatlīdzekļu atlikusī vērtība</t>
  </si>
  <si>
    <t>Izdevumi debitoru parādu norakstīšanai un uzkrājumu veidošanai</t>
  </si>
  <si>
    <t>Uzkrājums atvaļinājumu rezervēm,piem., uzņēmuma vadītājiem par pārskata gadu</t>
  </si>
  <si>
    <t>Citi izdevumi</t>
  </si>
  <si>
    <t>Pārējie iepriekš neuzskaitītie budžeta izdevumi, kas veidojas pēc uzkrāšanas principa un nav uzskaitīti citos koda 8000 apakškodos</t>
  </si>
  <si>
    <t>G</t>
  </si>
  <si>
    <t>IV IZDEVUMI   PAVISAM (II + IV)</t>
  </si>
  <si>
    <t>H</t>
  </si>
  <si>
    <t xml:space="preserve"> V PEĻŅA  VAI  ZAUDĒJUMI</t>
  </si>
  <si>
    <t>Norādījumi veidlapas aizpildīšanai:</t>
  </si>
  <si>
    <r>
      <rPr>
        <vertAlign val="superscript"/>
        <sz val="12"/>
        <rFont val="Times New Roman"/>
        <family val="1"/>
      </rPr>
      <t>1</t>
    </r>
    <r>
      <rPr>
        <sz val="12"/>
        <rFont val="Times New Roman"/>
        <family val="1"/>
      </rPr>
      <t xml:space="preserve"> budžeta kodu klasifikācija sadaļā II " IZDEVUMI SAIMNIECISKĀS DARBĪBAS NODROŠINĀŠANAI KOPĀ" atbilst Ministru Kabineta noteikumiem Nr. 1031 "Noteikumi par budžetu izdevumu klasifikāciju atbilstoši ekonomiskajām kategorijām" un jāpiemēro šo MK noteikumu skaidrojumi atbilstošiem EKK</t>
    </r>
  </si>
  <si>
    <r>
      <rPr>
        <vertAlign val="superscript"/>
        <sz val="12"/>
        <rFont val="Times New Roman"/>
        <family val="1"/>
      </rPr>
      <t xml:space="preserve">2 </t>
    </r>
    <r>
      <rPr>
        <sz val="12"/>
        <rFont val="Times New Roman"/>
        <family val="1"/>
      </rPr>
      <t xml:space="preserve">detalizēti skaidrojumi par faktisko budžeta  ieņēmumu un izdevumu noviržu iemesliem periodā no </t>
    </r>
    <r>
      <rPr>
        <i/>
        <sz val="12"/>
        <rFont val="Times New Roman"/>
        <family val="1"/>
      </rPr>
      <t>n</t>
    </r>
    <r>
      <rPr>
        <sz val="12"/>
        <rFont val="Times New Roman"/>
        <family val="1"/>
      </rPr>
      <t xml:space="preserve"> gada sākuma līdz pārskata ceturkšņa beigām  gadījumos, ja novirze faktisko budžeta ieņēmumu un izdevumu pozīcijās ir virs 15%.</t>
    </r>
  </si>
  <si>
    <t xml:space="preserve">  skaidrojumi par novirzēm ir jāsniedz  sekojošiem budžeta ieņēmumu un izdevumu kodiem: 00110, 00120, 00130, 00140, 00150, 0020, 0030, 0040, 0050, 0060, 0070, 0080, 1110, 1140, 1150, 1170, 1210, 1220, 2110, 2120, 2210, 2220, 2230, 2240, 2250, 2260, 2270, 2280, 2310, 2320, 2330, 2341, 2343, 2344, 2350, 2360, 2370, 2380, 2390, 2510, 2520,2800, 4100, 4200, 4300, 5100, 5200, 0100, 8000.</t>
  </si>
  <si>
    <r>
      <rPr>
        <vertAlign val="superscript"/>
        <sz val="12"/>
        <rFont val="Times New Roman"/>
        <family val="1"/>
      </rPr>
      <t>3</t>
    </r>
    <r>
      <rPr>
        <sz val="12"/>
        <rFont val="Times New Roman"/>
        <family val="1"/>
      </rPr>
      <t xml:space="preserve"> t.sk.asins sagatavošanas nodaļas pakalpojumiem, pakalpojumi maznodrošinātajiem utt.</t>
    </r>
  </si>
  <si>
    <r>
      <rPr>
        <vertAlign val="superscript"/>
        <sz val="12"/>
        <rFont val="Times New Roman"/>
        <family val="1"/>
      </rPr>
      <t>4</t>
    </r>
    <r>
      <rPr>
        <sz val="12"/>
        <rFont val="Times New Roman"/>
        <family val="1"/>
      </rPr>
      <t xml:space="preserve"> piem., Černobiļas apliecības izsniegšana, tehnisko palīglīdzekļu centra funkciju nodrošināšana</t>
    </r>
  </si>
  <si>
    <t>Nr.p.k.</t>
  </si>
  <si>
    <t>Nosaukums</t>
  </si>
  <si>
    <r>
      <t>Skaidrojumi</t>
    </r>
    <r>
      <rPr>
        <vertAlign val="superscript"/>
        <sz val="12"/>
        <rFont val="Times New Roman"/>
        <family val="1"/>
      </rPr>
      <t>1</t>
    </r>
  </si>
  <si>
    <t>Neto apgrozījums</t>
  </si>
  <si>
    <t>Pārdotās produkcijas ražošanas pašizmaksa, pārdoto preču vai sniegto pakalpojumu iegādes izmaksas</t>
  </si>
  <si>
    <t>Bruto peļņa vai zaudējumi (no apgrozījuma)</t>
  </si>
  <si>
    <t>Pārdošanas izmaksas</t>
  </si>
  <si>
    <t>Administrācijas izmaksas</t>
  </si>
  <si>
    <t xml:space="preserve">Pārējie saimnieciskās darbības ieņēmumi </t>
  </si>
  <si>
    <t>Pārējie saimnieciskās darbības izmaksas</t>
  </si>
  <si>
    <t xml:space="preserve">Ieņēmumi no līdzdalības </t>
  </si>
  <si>
    <t>Ieņēmumi no vērtspapīriem un aizdevumiem, kas veidojuši ilgtermiņa aizdevumus</t>
  </si>
  <si>
    <t>Pārējie procentu ieņēmumi un tamlīdzīgi ieņēmumi</t>
  </si>
  <si>
    <t>Ilgtermiņa un īstermiņa finanšu ieguldījumu vērtības samazinājuma korekcijas</t>
  </si>
  <si>
    <t>Procentu maksājumi un tamlīdzīgas izmaksas</t>
  </si>
  <si>
    <t>Peļņa vai zaudējumi pirms uzņēmumu ienākuma nodokļa</t>
  </si>
  <si>
    <t>Uzņēmumu ienākuma nodoklis par pārskata gadu</t>
  </si>
  <si>
    <t xml:space="preserve">Peļņa vai zaudējumi pēc uzņēmumu ienākuma nodokļa aprēķināšanas </t>
  </si>
  <si>
    <t>Ieņēmumi vai izmaksas no atliktā nodokļa aktīvu vai saistību atlikumu izmaiņām</t>
  </si>
  <si>
    <t>Ārkārtas dividendes</t>
  </si>
  <si>
    <t xml:space="preserve">Pārskata perioda peļņa vai zaudējumi </t>
  </si>
  <si>
    <t>Mazākumakcionāru peļņas vai zaudējumu daļa</t>
  </si>
  <si>
    <t xml:space="preserve">Peļņas vai zaudējumu aprēķinu un Bilanci apkopo un norāda atbilstoši apstiprinātai kapitālsabiedrības grāmatvedības politikai.                      Visiem pielikumos norādītiem datiem jābūt loģiski savstarpēji saistītiem. </t>
  </si>
  <si>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</si>
  <si>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t>Bilances posteņa nosaukums</t>
  </si>
  <si>
    <r>
      <t>Skaidrojumi</t>
    </r>
    <r>
      <rPr>
        <vertAlign val="superscript"/>
        <sz val="12"/>
        <color rgb="FF000000"/>
        <rFont val="Times New Roman"/>
        <family val="1"/>
      </rPr>
      <t>1</t>
    </r>
  </si>
  <si>
    <t>Ilgtermiņa ieguldījumi</t>
  </si>
  <si>
    <t>Nemateriālie ieguldījumi</t>
  </si>
  <si>
    <t>Attīstības izmaksas</t>
  </si>
  <si>
    <t>Koncesijas, patenti, licences, preču zīmes un tamlīdzīgas tiesības</t>
  </si>
  <si>
    <t>Citi nemateriālie ieguldījumi</t>
  </si>
  <si>
    <t>Nemateriālā vērtība</t>
  </si>
  <si>
    <t>Avansa maksājumi par nemateriālajiem ieguldījumiem</t>
  </si>
  <si>
    <t>Nemateriālo ieguldījumu amortizācija un vērtības samazinājums</t>
  </si>
  <si>
    <t>`</t>
  </si>
  <si>
    <t>Pamatlīdzekļi</t>
  </si>
  <si>
    <t>Zeme un būves</t>
  </si>
  <si>
    <t>Tehnoloģiskās iekārtas un mašīnas</t>
  </si>
  <si>
    <t>Pārējie pamatlīdzekļi</t>
  </si>
  <si>
    <t>Pamatlīdzekļu izveidošana un nepabeigtā būvniecība</t>
  </si>
  <si>
    <t>Turējumā nodotie valsts un pašvaldību īpašumi</t>
  </si>
  <si>
    <t>Bioloģiskie un pazemes aktīvi</t>
  </si>
  <si>
    <t>Ilgtermiņa ieguldījumi nomātajos pamatlīdzekļos</t>
  </si>
  <si>
    <t>Avansa maksājumi par pamatlīdzekļiem</t>
  </si>
  <si>
    <t xml:space="preserve">	Pamatlīdzekļu uzkrātais nolietojums un vērtības samazinājums</t>
  </si>
  <si>
    <t>Ilgtermiņa finanšu ieguldījumi</t>
  </si>
  <si>
    <t>Ilgtermiņa prasības</t>
  </si>
  <si>
    <t>Ieguldījuma īpašumi</t>
  </si>
  <si>
    <t>Bioloģiskie aktīvi lauksaimnieciskajai darbībai</t>
  </si>
  <si>
    <t>Apgrozāmie līdzekļi</t>
  </si>
  <si>
    <t>Krājumi</t>
  </si>
  <si>
    <t>Izejvielas, pamatmateriāli un palīgmateriāl</t>
  </si>
  <si>
    <t>Nepabeigtie ražojumi un pasūtījumi</t>
  </si>
  <si>
    <t>Gatavie ražojumi, pasūtījumi un krājumi atsavināšanai</t>
  </si>
  <si>
    <t>Bioloģisko aktīvu produkti un krājumi to uzturēšanai</t>
  </si>
  <si>
    <t>Valsts materiālās rezerves</t>
  </si>
  <si>
    <t>Speciālais militārais inventārs un speciālā militārā inventāra izveidošana</t>
  </si>
  <si>
    <t xml:space="preserve">	Avansa maksājumi un vērtības samazinājums avansa maksājumiem par krājumiem</t>
  </si>
  <si>
    <t>Vērtības samazinājums krājumiem</t>
  </si>
  <si>
    <t xml:space="preserve">	Īstermiņa prasības</t>
  </si>
  <si>
    <t>Prasības pret pircējiem un pasūtītājiem</t>
  </si>
  <si>
    <t>Prasības par ārvalstu finanšu palīdzības un Eiropas Savienības politiku instrumentu finansētajiem projektiem (pasākumiem)</t>
  </si>
  <si>
    <t>Prasības par nodokļiem, nodevām un citiem maksājumiem budžetos</t>
  </si>
  <si>
    <t>Uzkrātie ieņēmumi</t>
  </si>
  <si>
    <t>Pārmaksātie nodokļi, nodevas un citi maksājumi budžetos</t>
  </si>
  <si>
    <t>Prasības pret personālu</t>
  </si>
  <si>
    <t>Pārējās prasības</t>
  </si>
  <si>
    <t>Nākamo periodu izdevumi un avansa maksājumi par pakalpojumiem un projektiem</t>
  </si>
  <si>
    <t>Īstermiņa finanšu ieguldījumi</t>
  </si>
  <si>
    <t>Naudas līdzekļi</t>
  </si>
  <si>
    <t>AKTĪVU KOPSUMMA (1000+2000)</t>
  </si>
  <si>
    <t>Pašu kapitāls</t>
  </si>
  <si>
    <t>Pamatkapitāls</t>
  </si>
  <si>
    <t>Ilgtermiņa ieguldījumu pārvērtēšanas rezerve.</t>
  </si>
  <si>
    <t>Rezerves</t>
  </si>
  <si>
    <t xml:space="preserve">	Finanšu instrumentu patiesās vērtības rezerve</t>
  </si>
  <si>
    <t xml:space="preserve">	Pārējās rezerves</t>
  </si>
  <si>
    <t>Nesadalītā peļņa:</t>
  </si>
  <si>
    <t>Iepriekšējo gadu nesadalītā peļņa vai nesegtie zaudējumi</t>
  </si>
  <si>
    <t>Pārskata gada peļņa vai zaudējumi</t>
  </si>
  <si>
    <t>Uzkrājumi</t>
  </si>
  <si>
    <t>Kreditori</t>
  </si>
  <si>
    <t>Ilgtermiņa kreditori</t>
  </si>
  <si>
    <t>Aizņēmumi no kredītiestādēm</t>
  </si>
  <si>
    <t>Citi aizņēmumi</t>
  </si>
  <si>
    <t>No pircējiem saņemtie avansi</t>
  </si>
  <si>
    <t>Parādi piegādātājiem un darbuzņēmējiem</t>
  </si>
  <si>
    <t>Nodokļi un valsts sociālās apdrošināšanas obligātās iemaksas</t>
  </si>
  <si>
    <t>Pārējie kreditori</t>
  </si>
  <si>
    <t>Nākamo periodu ieņēmumi</t>
  </si>
  <si>
    <t>Uzkrātās saistības</t>
  </si>
  <si>
    <t>Neizmaksātās dividendes</t>
  </si>
  <si>
    <t>Īstermiņa kreditori</t>
  </si>
  <si>
    <t>PASĪVU KOPSUMMA (3000+4000+5000)</t>
  </si>
  <si>
    <t>I</t>
  </si>
  <si>
    <t>Kredītsaistības  (5100+5200)</t>
  </si>
  <si>
    <t xml:space="preserve">Ilgtermiņa kredītsaistības kopā </t>
  </si>
  <si>
    <t xml:space="preserve">Īstermiņa kredītsaistības kopā </t>
  </si>
  <si>
    <t>2024. gada izpilde</t>
  </si>
  <si>
    <t>2025. gada plāns</t>
  </si>
  <si>
    <t>Naudas līdzekļu atlikums perioda sākumā</t>
  </si>
  <si>
    <t>J</t>
  </si>
  <si>
    <t>Saimnieciskās darbības ieņēmumi</t>
  </si>
  <si>
    <t>Valsts līdzekļi pamatdarbībai kopā</t>
  </si>
  <si>
    <t>Ieņēmumi par izglītojošo in zinātnisko darbību</t>
  </si>
  <si>
    <t>Saņemtās pacientu iemaksas (ambulatorai palīdzībai)</t>
  </si>
  <si>
    <t>Saimnieciskās darbības izdevumi</t>
  </si>
  <si>
    <t>Sniegto pakalpojumu izdevumi</t>
  </si>
  <si>
    <t>Pārējie uzņēmuma saimnieciskās darbības izdevumi</t>
  </si>
  <si>
    <t>Pamatdarbības neto naudas plūsma (11 000-12 000)</t>
  </si>
  <si>
    <t>K</t>
  </si>
  <si>
    <t>Ieguldījumu darbības naudas plūsma</t>
  </si>
  <si>
    <t>Ieguldīšanas darbības ieņēmumi</t>
  </si>
  <si>
    <t>Ieņēmumi no radniecīgo sabiedrību, asociēto sabiedrību vai citu sabiedrību akciju vai daļu atsavināšanas</t>
  </si>
  <si>
    <t>Ieņēmumi no pamatlīdzekļu un nemateriālo ieguldījumu pārdošanas</t>
  </si>
  <si>
    <t>Ieņēmumi no aizdevumu atmaksas</t>
  </si>
  <si>
    <t>Saņemtie procenti</t>
  </si>
  <si>
    <t>Saņemtās dividendes</t>
  </si>
  <si>
    <t>Ieguldīšanas darbības izdevumi</t>
  </si>
  <si>
    <t>Radniecīgo sabiedrību, asociēto sabiedrību vai citu sabiedrību akciju vai daļu iegāde</t>
  </si>
  <si>
    <t>Pamatlīdzekļu un nemateriālo ieguldījumu iegāde kopā</t>
  </si>
  <si>
    <t>Intelektuālais īpašums</t>
  </si>
  <si>
    <t>Kustamais īpašums</t>
  </si>
  <si>
    <t>Nekustamais īpašums</t>
  </si>
  <si>
    <t>Izsniegtie aizdevumi</t>
  </si>
  <si>
    <t>Ieguldīšanas darbības neto naudas plūsma  (14000-15 000)</t>
  </si>
  <si>
    <t>L</t>
  </si>
  <si>
    <t>Finansēšanas darbības naudas plūsma</t>
  </si>
  <si>
    <t>Finansēšanas darbības ieņēmumi</t>
  </si>
  <si>
    <t>Ieņēmumi no akciju un obligāciju emisijas vai kapitāla līdzdalības daļu ieguldījumiem</t>
  </si>
  <si>
    <t>Saņemtie aizņēmumi</t>
  </si>
  <si>
    <t>Saņemtās subsīdijas, dotācijas, dāvinājumi vai ziedojumi</t>
  </si>
  <si>
    <t>Finansēšanas darbības izdevumi</t>
  </si>
  <si>
    <t>Izdevumi aizņēmumu atmaksāšanai</t>
  </si>
  <si>
    <t>Izdevumi nomāta pamatlīdzekļa izpirkumam</t>
  </si>
  <si>
    <t>Izmaksātās dividendes</t>
  </si>
  <si>
    <t>Finansēšanas darbības naudas neto plūsma (17 000-18 000)</t>
  </si>
  <si>
    <t>Ārvalstu valūtu kursu svārstību rezultāts</t>
  </si>
  <si>
    <t>Klientu uzdevumā veiktā naudas saņemšana un izmaksāšana</t>
  </si>
  <si>
    <t>Naudas līdzekļu atlikums perioda beigās</t>
  </si>
  <si>
    <t>Valsts galvotais aizdevums</t>
  </si>
  <si>
    <t>ES fondu projektu līdzfinansējums</t>
  </si>
  <si>
    <t>Citu ārvalstu projektu līdzfinansējums</t>
  </si>
  <si>
    <t>Pašu līdzekļi</t>
  </si>
  <si>
    <t>Budžeta līdzekļi</t>
  </si>
  <si>
    <t>Pacientu personīgie līdzekļi</t>
  </si>
  <si>
    <t>Citi finanšu līdzekļi</t>
  </si>
  <si>
    <r>
      <rPr>
        <vertAlign val="superscript"/>
        <sz val="12"/>
        <rFont val="Times New Roman"/>
        <family val="1"/>
      </rPr>
      <t xml:space="preserve">1 </t>
    </r>
    <r>
      <rPr>
        <sz val="12"/>
        <rFont val="Times New Roman"/>
        <family val="1"/>
      </rPr>
      <t>detalizēti skaidrojumi par noviržu iemesliem periodā no n gada sākuma līdz pārskata ceturkšņa beigām gadījumos, ja novirze ir virs 15%.</t>
    </r>
  </si>
  <si>
    <t>Rādītāja nosaukums</t>
  </si>
  <si>
    <t xml:space="preserve"> 2024. gada  izpilde</t>
  </si>
  <si>
    <t>Izpilde periodā no 2025. gada sākuma līdz 2024 ceturkšņa beigām</t>
  </si>
  <si>
    <r>
      <t>Skaidrojumi</t>
    </r>
    <r>
      <rPr>
        <vertAlign val="superscript"/>
        <sz val="12"/>
        <rFont val="Times New Roman"/>
        <family val="1"/>
      </rPr>
      <t>12</t>
    </r>
  </si>
  <si>
    <t>Plāns periodam no 2025 gada sākuma līdz II ceturkšņa beigām</t>
  </si>
  <si>
    <t>23000</t>
  </si>
  <si>
    <t>VESELĪBAS APRŪPE</t>
  </si>
  <si>
    <t>X</t>
  </si>
  <si>
    <t>23100</t>
  </si>
  <si>
    <t>Neatliekamās medicīniskās palīdzības sniegšana uzņemšanas nodaļā (t.sk. traumpunktā), izslēdzot dzemdības un plānveida hospitalizācijas</t>
  </si>
  <si>
    <t>23110</t>
  </si>
  <si>
    <t>Kopējais pacientu skaits periodā, kas vērsušies NMPUN, t.sk.</t>
  </si>
  <si>
    <t>27 123</t>
  </si>
  <si>
    <t>23111</t>
  </si>
  <si>
    <r>
      <t xml:space="preserve">Pacientu skaits periodā, kuriem sniegta neatliekamā medicīniskā palīdzība un </t>
    </r>
    <r>
      <rPr>
        <i/>
        <sz val="12"/>
        <rFont val="Times New Roman"/>
        <family val="1"/>
      </rPr>
      <t>tie novirzīti turpmākai ambulatorai ārstēšanai</t>
    </r>
  </si>
  <si>
    <t>23 441</t>
  </si>
  <si>
    <t>23112</t>
  </si>
  <si>
    <r>
      <t>Pacientu skaits periodā,</t>
    </r>
    <r>
      <rPr>
        <i/>
        <sz val="12"/>
        <rFont val="Times New Roman"/>
        <family val="1"/>
      </rPr>
      <t xml:space="preserve"> kuri stacionēti (bez observācijas)</t>
    </r>
  </si>
  <si>
    <t>3 682</t>
  </si>
  <si>
    <t>23113</t>
  </si>
  <si>
    <r>
      <t xml:space="preserve">Pacientu skaits periodā, </t>
    </r>
    <r>
      <rPr>
        <i/>
        <sz val="12"/>
        <rFont val="Times New Roman"/>
        <family val="1"/>
      </rPr>
      <t>kuriem nodrošināts observācijas pakalpojums, t.sk.</t>
    </r>
  </si>
  <si>
    <t>231131</t>
  </si>
  <si>
    <t>Pacientu skaits periodā, kuri pēc observācijas novirzīti turpmākai ambulatorai ārstēšanai</t>
  </si>
  <si>
    <t> </t>
  </si>
  <si>
    <t>231132</t>
  </si>
  <si>
    <t>Pacientu skaits periodā, kuri pēc observācijas stacionēti</t>
  </si>
  <si>
    <t>23212</t>
  </si>
  <si>
    <t>Kopējais stacionēto pacientu skaits no NMPUN (23112+231132)</t>
  </si>
  <si>
    <t>23213</t>
  </si>
  <si>
    <t>Kopējais stacionēto pacientu īpatsvars  no kopējā gadījumu skaita uzņemšanas nodaļā, % (23212/23110)</t>
  </si>
  <si>
    <t>23214</t>
  </si>
  <si>
    <r>
      <t>Vidējais</t>
    </r>
    <r>
      <rPr>
        <vertAlign val="superscript"/>
        <sz val="12"/>
        <rFont val="Times New Roman"/>
        <family val="1"/>
      </rPr>
      <t>1</t>
    </r>
    <r>
      <rPr>
        <sz val="12"/>
        <rFont val="Times New Roman"/>
        <family val="1"/>
      </rPr>
      <t xml:space="preserve"> observācijas gultu skaits</t>
    </r>
  </si>
  <si>
    <t>23215</t>
  </si>
  <si>
    <t>Observācijas gadījumu īpatsvars no kopējā gadījumu skaita uzņemšanas nodaļā (23113/23110), %</t>
  </si>
  <si>
    <t>23200</t>
  </si>
  <si>
    <t>STACIONĀRĀ VESELĪBAS APRŪPE</t>
  </si>
  <si>
    <t>23210</t>
  </si>
  <si>
    <t>Vidējais gultu skaits stacionārā</t>
  </si>
  <si>
    <t>23230</t>
  </si>
  <si>
    <t>Kopējais gultu dienu skaits</t>
  </si>
  <si>
    <t>44 384</t>
  </si>
  <si>
    <t>23231</t>
  </si>
  <si>
    <t>Stacionārā pacienta dienas vidējā realizācijas maksa, EUR</t>
  </si>
  <si>
    <t>23232</t>
  </si>
  <si>
    <t>Stacionārā pacienta dienas vidējā pašizmaksa, EUR</t>
  </si>
  <si>
    <t>23250</t>
  </si>
  <si>
    <r>
      <t>Kopējais hospitalizācijas</t>
    </r>
    <r>
      <rPr>
        <vertAlign val="superscript"/>
        <sz val="12"/>
        <rFont val="Times New Roman"/>
        <family val="1"/>
      </rPr>
      <t>2</t>
    </r>
    <r>
      <rPr>
        <sz val="12"/>
        <rFont val="Times New Roman"/>
        <family val="1"/>
      </rPr>
      <t xml:space="preserve"> gadījumu skaits, t.sk.</t>
    </r>
  </si>
  <si>
    <t>7 473</t>
  </si>
  <si>
    <t>232501</t>
  </si>
  <si>
    <r>
      <t>Valsts apmaksāto hospitalizācijas</t>
    </r>
    <r>
      <rPr>
        <i/>
        <vertAlign val="superscript"/>
        <sz val="12"/>
        <rFont val="Times New Roman"/>
        <family val="1"/>
      </rPr>
      <t>2</t>
    </r>
    <r>
      <rPr>
        <i/>
        <sz val="12"/>
        <rFont val="Times New Roman"/>
        <family val="1"/>
      </rPr>
      <t xml:space="preserve"> gadījumu skaits</t>
    </r>
  </si>
  <si>
    <t>7 266</t>
  </si>
  <si>
    <t>23251</t>
  </si>
  <si>
    <r>
      <t>Plānveida hospitalizācijas</t>
    </r>
    <r>
      <rPr>
        <vertAlign val="superscript"/>
        <sz val="12"/>
        <rFont val="Times New Roman"/>
        <family val="1"/>
      </rPr>
      <t>2</t>
    </r>
    <r>
      <rPr>
        <sz val="12"/>
        <rFont val="Times New Roman"/>
        <family val="1"/>
      </rPr>
      <t xml:space="preserve"> gadījumu skaits, t.sk.:</t>
    </r>
  </si>
  <si>
    <t>3 791</t>
  </si>
  <si>
    <t>232511</t>
  </si>
  <si>
    <r>
      <t>Valsts apmaksāto plānveida hospitalizācijas</t>
    </r>
    <r>
      <rPr>
        <i/>
        <vertAlign val="superscript"/>
        <sz val="12"/>
        <rFont val="Times New Roman"/>
        <family val="1"/>
      </rPr>
      <t>2</t>
    </r>
    <r>
      <rPr>
        <i/>
        <sz val="12"/>
        <rFont val="Times New Roman"/>
        <family val="1"/>
      </rPr>
      <t xml:space="preserve"> gadījumu skaits</t>
    </r>
  </si>
  <si>
    <t>3 616</t>
  </si>
  <si>
    <t>23252</t>
  </si>
  <si>
    <r>
      <t>Neatliekamo hospitalizāciju</t>
    </r>
    <r>
      <rPr>
        <vertAlign val="superscript"/>
        <sz val="12"/>
        <rFont val="Times New Roman"/>
        <family val="1"/>
      </rPr>
      <t>2</t>
    </r>
    <r>
      <rPr>
        <sz val="12"/>
        <rFont val="Times New Roman"/>
        <family val="1"/>
      </rPr>
      <t xml:space="preserve"> gadījumu skaits, t.sk.:</t>
    </r>
  </si>
  <si>
    <t>232521</t>
  </si>
  <si>
    <r>
      <t>Valsts apmaksāto neatliekamo hospitalizācijas</t>
    </r>
    <r>
      <rPr>
        <i/>
        <vertAlign val="superscript"/>
        <sz val="12"/>
        <rFont val="Times New Roman"/>
        <family val="1"/>
      </rPr>
      <t>2</t>
    </r>
    <r>
      <rPr>
        <i/>
        <sz val="12"/>
        <rFont val="Times New Roman"/>
        <family val="1"/>
      </rPr>
      <t xml:space="preserve"> gadījumu skaits</t>
    </r>
  </si>
  <si>
    <t>3 650</t>
  </si>
  <si>
    <t>23261</t>
  </si>
  <si>
    <r>
      <t>Atkārtoti hospitalizēto pacientu skaits, neieskaitot pacientus, kuriem nākamā hospitalizācija ir aprūpe vai rehabilitācija</t>
    </r>
    <r>
      <rPr>
        <vertAlign val="superscript"/>
        <sz val="12"/>
        <rFont val="Times New Roman"/>
        <family val="1"/>
      </rPr>
      <t>9</t>
    </r>
  </si>
  <si>
    <t>23262</t>
  </si>
  <si>
    <r>
      <t>Atkārtoti hospitalizēto pacientu skaits, kuriem nākamā hospitalizācija ir aprūpe,  rehabilitācija vai nākamais ārstēšanas posms</t>
    </r>
    <r>
      <rPr>
        <vertAlign val="superscript"/>
        <sz val="12"/>
        <rFont val="Times New Roman"/>
        <family val="1"/>
      </rPr>
      <t>10</t>
    </r>
  </si>
  <si>
    <t>23270</t>
  </si>
  <si>
    <t>Izdarīto operāciju skaits diennakts stacionārā</t>
  </si>
  <si>
    <t>18 762</t>
  </si>
  <si>
    <t>23280</t>
  </si>
  <si>
    <t>Ārstēšanas vidējais ilgums diennakts stacionārā (dienas)</t>
  </si>
  <si>
    <t>23290</t>
  </si>
  <si>
    <t>Vidējais gultu noslogojums diennakts stacionārā, %</t>
  </si>
  <si>
    <t>23300</t>
  </si>
  <si>
    <t>AMBULATORĀ VESELĪBAS APRŪPE</t>
  </si>
  <si>
    <t>23320</t>
  </si>
  <si>
    <t>Ambulatoro apmeklējumu skaits, t.sk.</t>
  </si>
  <si>
    <t>23321</t>
  </si>
  <si>
    <t>Valsts apmaksātie ambulatorie pakalpojumi</t>
  </si>
  <si>
    <t>92 040</t>
  </si>
  <si>
    <t>233211</t>
  </si>
  <si>
    <t>t.sk. dienas stacionārā</t>
  </si>
  <si>
    <t>23322</t>
  </si>
  <si>
    <t>Maksas ambulatorie pakalpojumi</t>
  </si>
  <si>
    <t>23 251</t>
  </si>
  <si>
    <t>233221</t>
  </si>
  <si>
    <t>23330</t>
  </si>
  <si>
    <t>Vidējais gultu skaits dienas stacionārā</t>
  </si>
  <si>
    <t xml:space="preserve">  </t>
  </si>
  <si>
    <t>23340</t>
  </si>
  <si>
    <t>Vidējais gultu noslogojums dienas stacionārā, %</t>
  </si>
  <si>
    <t>23350</t>
  </si>
  <si>
    <r>
      <t>Ambultatori izdarīto operāciju skaits</t>
    </r>
    <r>
      <rPr>
        <vertAlign val="superscript"/>
        <sz val="12"/>
        <rFont val="Times New Roman"/>
        <family val="1"/>
      </rPr>
      <t>11</t>
    </r>
    <r>
      <rPr>
        <sz val="12"/>
        <rFont val="Times New Roman"/>
        <family val="1"/>
      </rPr>
      <t>, t.sk.:</t>
    </r>
  </si>
  <si>
    <t>4 001</t>
  </si>
  <si>
    <t>23351</t>
  </si>
  <si>
    <t>Izdarīto operāciju skaits dienas stacionārā</t>
  </si>
  <si>
    <t>24000</t>
  </si>
  <si>
    <t>SOCIĀLĀ REHABILITĀCIJA</t>
  </si>
  <si>
    <t>24100</t>
  </si>
  <si>
    <t>Klientu dienu skaits</t>
  </si>
  <si>
    <t>24200</t>
  </si>
  <si>
    <r>
      <t xml:space="preserve">Klienta dienas vidējā realizācijas maksa, </t>
    </r>
    <r>
      <rPr>
        <i/>
        <sz val="12"/>
        <rFont val="Times New Roman"/>
        <family val="1"/>
      </rPr>
      <t>euro</t>
    </r>
  </si>
  <si>
    <t>24300</t>
  </si>
  <si>
    <r>
      <t xml:space="preserve">Klienta dienas vidējā pašizmaksa, </t>
    </r>
    <r>
      <rPr>
        <i/>
        <sz val="12"/>
        <rFont val="Times New Roman"/>
        <family val="1"/>
      </rPr>
      <t>euro</t>
    </r>
  </si>
  <si>
    <t>24400</t>
  </si>
  <si>
    <t xml:space="preserve">Klientu skaits </t>
  </si>
  <si>
    <t>24500</t>
  </si>
  <si>
    <r>
      <t xml:space="preserve">Vidējais sociālās aprūpes ilgums, </t>
    </r>
    <r>
      <rPr>
        <i/>
        <sz val="12"/>
        <rFont val="Times New Roman"/>
        <family val="1"/>
      </rPr>
      <t xml:space="preserve">dienas </t>
    </r>
  </si>
  <si>
    <t>25000</t>
  </si>
  <si>
    <t>SOCIĀlĀ APRŪPE</t>
  </si>
  <si>
    <t>25100</t>
  </si>
  <si>
    <t>25200</t>
  </si>
  <si>
    <t>25300</t>
  </si>
  <si>
    <t>25400</t>
  </si>
  <si>
    <t>25500</t>
  </si>
  <si>
    <t>26000</t>
  </si>
  <si>
    <t>PERSONĀLA RĀDĪTĀJI</t>
  </si>
  <si>
    <t>26100</t>
  </si>
  <si>
    <t xml:space="preserve">Štata vienību / likmju vidējais skaits </t>
  </si>
  <si>
    <t>26110</t>
  </si>
  <si>
    <r>
      <t>Ārsti</t>
    </r>
    <r>
      <rPr>
        <vertAlign val="superscript"/>
        <sz val="12"/>
        <rFont val="Times New Roman"/>
        <family val="1"/>
      </rPr>
      <t>3</t>
    </r>
  </si>
  <si>
    <t>26120</t>
  </si>
  <si>
    <r>
      <t>Ārstniecības un pacientu aprūpes personāls</t>
    </r>
    <r>
      <rPr>
        <vertAlign val="superscript"/>
        <sz val="12"/>
        <rFont val="Times New Roman"/>
        <family val="1"/>
      </rPr>
      <t>4</t>
    </r>
  </si>
  <si>
    <t>26130</t>
  </si>
  <si>
    <r>
      <t>Ārstniecības un pacientu aprūpes atbalsta personāls</t>
    </r>
    <r>
      <rPr>
        <vertAlign val="superscript"/>
        <sz val="12"/>
        <rFont val="Times New Roman"/>
        <family val="1"/>
      </rPr>
      <t>5</t>
    </r>
  </si>
  <si>
    <t>26140</t>
  </si>
  <si>
    <r>
      <t>Administrācija</t>
    </r>
    <r>
      <rPr>
        <vertAlign val="superscript"/>
        <sz val="12"/>
        <rFont val="Times New Roman"/>
        <family val="1"/>
      </rPr>
      <t>6</t>
    </r>
  </si>
  <si>
    <t>26150</t>
  </si>
  <si>
    <r>
      <t>Pārējais personāls (t.sk. sanitāri)</t>
    </r>
    <r>
      <rPr>
        <vertAlign val="superscript"/>
        <sz val="12"/>
        <rFont val="Times New Roman"/>
        <family val="1"/>
      </rPr>
      <t>7</t>
    </r>
  </si>
  <si>
    <t>26200</t>
  </si>
  <si>
    <t xml:space="preserve">Vidējie ienākumi uz vienu štata vienību likmi </t>
  </si>
  <si>
    <t>1 935</t>
  </si>
  <si>
    <t>26210</t>
  </si>
  <si>
    <t>2 926</t>
  </si>
  <si>
    <t>26220</t>
  </si>
  <si>
    <t>2 170</t>
  </si>
  <si>
    <t>26230</t>
  </si>
  <si>
    <t>1 228</t>
  </si>
  <si>
    <t>26240</t>
  </si>
  <si>
    <t>2 420</t>
  </si>
  <si>
    <t>26250</t>
  </si>
  <si>
    <t>1 098</t>
  </si>
  <si>
    <t>26300</t>
  </si>
  <si>
    <t>Vidējais darbinieku skaits (cilv.)</t>
  </si>
  <si>
    <t>26310</t>
  </si>
  <si>
    <t>26320</t>
  </si>
  <si>
    <t>26330</t>
  </si>
  <si>
    <t>26340</t>
  </si>
  <si>
    <t>26350</t>
  </si>
  <si>
    <t>26400</t>
  </si>
  <si>
    <r>
      <t xml:space="preserve">Darbinieku </t>
    </r>
    <r>
      <rPr>
        <b/>
        <u/>
        <sz val="12"/>
        <rFont val="Times New Roman"/>
        <family val="1"/>
      </rPr>
      <t xml:space="preserve">vidējie </t>
    </r>
    <r>
      <rPr>
        <b/>
        <sz val="12"/>
        <rFont val="Times New Roman"/>
        <family val="1"/>
      </rPr>
      <t xml:space="preserve">ienākumi mēnesī: </t>
    </r>
  </si>
  <si>
    <t>1 911</t>
  </si>
  <si>
    <t>26410</t>
  </si>
  <si>
    <t>26420</t>
  </si>
  <si>
    <t>26430</t>
  </si>
  <si>
    <t>1 256</t>
  </si>
  <si>
    <t>26440</t>
  </si>
  <si>
    <t>2 482</t>
  </si>
  <si>
    <t>26450</t>
  </si>
  <si>
    <t>1 050</t>
  </si>
  <si>
    <t>26500</t>
  </si>
  <si>
    <t>Citi personāla rādītāji</t>
  </si>
  <si>
    <t>26510</t>
  </si>
  <si>
    <t>Darbinieku mainība,%</t>
  </si>
  <si>
    <t>26520</t>
  </si>
  <si>
    <t>Vidējais nostrādāto virsstundu skaits uz vienu ārtsniecības personu, kas attiecīgā periodā veic virsstundu darbu</t>
  </si>
  <si>
    <t>26530</t>
  </si>
  <si>
    <t>Ārstniecības personu īpatsvars, kas veic virsstundu darbu, no kopējā ārtsniecības personu skaita, %</t>
  </si>
  <si>
    <t>26540</t>
  </si>
  <si>
    <t>Strādājošo 25-40 gadus veco ārstniecības personu īpatsvars no kopējā ārstniecības personu skaita,%</t>
  </si>
  <si>
    <t>27000</t>
  </si>
  <si>
    <t>PĀRĒJIE RĀDĪTĀJI</t>
  </si>
  <si>
    <t>27100</t>
  </si>
  <si>
    <r>
      <t>Kopējā slimnīcas telpu platība  (m</t>
    </r>
    <r>
      <rPr>
        <vertAlign val="superscript"/>
        <sz val="12"/>
        <rFont val="Times New Roman"/>
        <family val="1"/>
      </rPr>
      <t>2</t>
    </r>
    <r>
      <rPr>
        <sz val="12"/>
        <rFont val="Times New Roman"/>
        <family val="1"/>
      </rPr>
      <t>), t.sk.:</t>
    </r>
  </si>
  <si>
    <t>27 434</t>
  </si>
  <si>
    <t>27110</t>
  </si>
  <si>
    <t>Palīgtelpas (garāžas, šķūņi, katlumājas utt.)</t>
  </si>
  <si>
    <t>8 230</t>
  </si>
  <si>
    <t>27200</t>
  </si>
  <si>
    <t>Centrālapkures patēriņš (MWh)</t>
  </si>
  <si>
    <t>2 996 000</t>
  </si>
  <si>
    <t>1 406 400</t>
  </si>
  <si>
    <t>1 843 500</t>
  </si>
  <si>
    <t>2 000 800</t>
  </si>
  <si>
    <t>27300</t>
  </si>
  <si>
    <t>Elektroenerģijas patērinš (kWh)</t>
  </si>
  <si>
    <t>1 724 076</t>
  </si>
  <si>
    <t>463 387</t>
  </si>
  <si>
    <t>865 803</t>
  </si>
  <si>
    <t>1 276 649</t>
  </si>
  <si>
    <t>27400</t>
  </si>
  <si>
    <r>
      <t>Ūdens patēriņš  ( m</t>
    </r>
    <r>
      <rPr>
        <vertAlign val="superscript"/>
        <sz val="12"/>
        <rFont val="Times New Roman"/>
        <family val="1"/>
      </rPr>
      <t>3</t>
    </r>
    <r>
      <rPr>
        <sz val="12"/>
        <rFont val="Times New Roman"/>
        <family val="1"/>
      </rPr>
      <t>)</t>
    </r>
  </si>
  <si>
    <t>19 744</t>
  </si>
  <si>
    <t>4 913</t>
  </si>
  <si>
    <t>10 001</t>
  </si>
  <si>
    <t>15 269</t>
  </si>
  <si>
    <t>27500</t>
  </si>
  <si>
    <r>
      <t>Kanalizācija  (m</t>
    </r>
    <r>
      <rPr>
        <vertAlign val="superscript"/>
        <sz val="12"/>
        <rFont val="Times New Roman"/>
        <family val="1"/>
      </rPr>
      <t>3</t>
    </r>
    <r>
      <rPr>
        <sz val="12"/>
        <rFont val="Times New Roman"/>
        <family val="1"/>
      </rPr>
      <t>)</t>
    </r>
  </si>
  <si>
    <t>21 048</t>
  </si>
  <si>
    <t>5 239</t>
  </si>
  <si>
    <t>10 653</t>
  </si>
  <si>
    <t>16 247</t>
  </si>
  <si>
    <t>28000</t>
  </si>
  <si>
    <t>MEDIKAMENTI UN MEDICĪNAS PRECES</t>
  </si>
  <si>
    <t>28100</t>
  </si>
  <si>
    <r>
      <t>Stacionāro pakalpojumu sniegšanai izmantotie medikamenti uz gultas dienu</t>
    </r>
    <r>
      <rPr>
        <vertAlign val="superscript"/>
        <sz val="12"/>
        <rFont val="Times New Roman"/>
        <family val="1"/>
      </rPr>
      <t>8</t>
    </r>
  </si>
  <si>
    <r>
      <rPr>
        <vertAlign val="superscript"/>
        <sz val="12"/>
        <rFont val="Times New Roman"/>
        <family val="1"/>
      </rPr>
      <t xml:space="preserve">1 </t>
    </r>
    <r>
      <rPr>
        <sz val="12"/>
        <rFont val="Times New Roman"/>
        <family val="1"/>
      </rPr>
      <t xml:space="preserve"> "vidējais"  rādītāja vērtība katra mēneša pēdējā datumā un summa, dalot ar mēnešu skaitu pārskata periodā</t>
    </r>
  </si>
  <si>
    <r>
      <rPr>
        <vertAlign val="superscript"/>
        <sz val="12"/>
        <rFont val="Times New Roman"/>
        <family val="1"/>
      </rPr>
      <t xml:space="preserve">2 </t>
    </r>
    <r>
      <rPr>
        <sz val="12"/>
        <rFont val="Times New Roman"/>
        <family val="1"/>
      </rPr>
      <t>hospitalizāciju skaits, bez fiktīvās izrakstīšanās attiecīgā perioda ietvaros</t>
    </r>
  </si>
  <si>
    <r>
      <rPr>
        <vertAlign val="superscript"/>
        <sz val="12"/>
        <rFont val="Times New Roman"/>
        <family val="1"/>
      </rPr>
      <t xml:space="preserve">3 </t>
    </r>
    <r>
      <rPr>
        <sz val="12"/>
        <rFont val="Times New Roman"/>
        <family val="1"/>
      </rPr>
      <t>sertificēti  ārsti, zobārsti un funkcionālie speciālisti, reģistrēti ārsti, zobārsti un funkcionālie speciālisti, rezidenti</t>
    </r>
  </si>
  <si>
    <r>
      <rPr>
        <vertAlign val="superscript"/>
        <sz val="12"/>
        <rFont val="Times New Roman"/>
        <family val="1"/>
      </rPr>
      <t xml:space="preserve">4 </t>
    </r>
    <r>
      <rPr>
        <sz val="12"/>
        <rFont val="Times New Roman"/>
        <family val="1"/>
      </rPr>
      <t>sertificēti/reģistrēti ārsta palīgi, māsas, vecmātes, biomedicīnas laboranti, radiologa asistenti, radiogrāferi, sertificēti masieri, ergoterapeita asistenti, fizioterapeita asistenti, zobu higiēnisti, zobārstniecības māsas, podologi, zobu tehniķi</t>
    </r>
  </si>
  <si>
    <r>
      <rPr>
        <vertAlign val="superscript"/>
        <sz val="12"/>
        <rFont val="Times New Roman"/>
        <family val="1"/>
      </rPr>
      <t xml:space="preserve">5 </t>
    </r>
    <r>
      <rPr>
        <sz val="12"/>
        <rFont val="Times New Roman"/>
        <family val="1"/>
      </rPr>
      <t>māsu palīgi, zobārsta asistenti</t>
    </r>
  </si>
  <si>
    <r>
      <rPr>
        <vertAlign val="superscript"/>
        <sz val="12"/>
        <rFont val="Times New Roman"/>
        <family val="1"/>
      </rPr>
      <t xml:space="preserve">6 </t>
    </r>
    <r>
      <rPr>
        <sz val="12"/>
        <rFont val="Times New Roman"/>
        <family val="1"/>
      </rPr>
      <t xml:space="preserve">valde, padome, valdes/padomes birojs, ārstniecības personām, kuras tiešā veidā nav saistītas ar pacientu ārstēšanu -  klīniku vadītājiem, virsārstiem, profila virsārstiem, vecākajiem ārstiem, galvenajām māsām, ārstiem koordinatoriem, projektu vadītājiem, departamentu direktoriem un to vietniekiem, tehniskajam direktoram, kā arī sekojošām struktūrvienībām: komunikācijas, personāla vadības, finanšu, u.c. </t>
    </r>
  </si>
  <si>
    <r>
      <rPr>
        <vertAlign val="superscript"/>
        <sz val="12"/>
        <rFont val="Times New Roman"/>
        <family val="1"/>
      </rPr>
      <t xml:space="preserve">7 </t>
    </r>
    <r>
      <rPr>
        <sz val="12"/>
        <rFont val="Times New Roman"/>
        <family val="1"/>
      </rPr>
      <t>saimnieciskais personāls, ārstniecības un aprūpes procesu atbalsta personāls (t.sk. sanitāri)</t>
    </r>
  </si>
  <si>
    <r>
      <rPr>
        <vertAlign val="superscript"/>
        <sz val="12"/>
        <rFont val="Times New Roman"/>
        <family val="1"/>
      </rPr>
      <t xml:space="preserve">8 </t>
    </r>
    <r>
      <rPr>
        <sz val="12"/>
        <rFont val="Times New Roman"/>
        <family val="1"/>
      </rPr>
      <t>medikamenti, medicīnas preces, implanti, sterilizācijas materiāli, medicīnas instrumenti, laboratorijas preces stacionāro pakalpojumu nodrošināšanai (bez bezmaksas medikamnetiem un med. Precēm)/ Stacionāra gultu dienu skaits</t>
    </r>
  </si>
  <si>
    <r>
      <rPr>
        <vertAlign val="superscript"/>
        <sz val="12"/>
        <rFont val="Times New Roman"/>
        <family val="1"/>
      </rPr>
      <t xml:space="preserve">9 </t>
    </r>
    <r>
      <rPr>
        <sz val="12"/>
        <rFont val="Times New Roman"/>
        <family val="1"/>
      </rPr>
      <t>rehospitalizāciju skaitā ieskaita pacientus, kas izrakstīti uz mājām (izrakstīšanās kustība 31) un kas atkārtoti hospitalizēti tajā pašā vai nākamajā dienā, izņemot pacientus, kuru nākamā hospitalizācija ir aprūpe vai rehabilitācija</t>
    </r>
  </si>
  <si>
    <r>
      <rPr>
        <vertAlign val="superscript"/>
        <sz val="12"/>
        <rFont val="Times New Roman"/>
        <family val="1"/>
      </rPr>
      <t>10</t>
    </r>
    <r>
      <rPr>
        <sz val="12"/>
        <color theme="1"/>
        <rFont val="Calibri"/>
        <family val="2"/>
        <charset val="186"/>
        <scheme val="minor"/>
      </rPr>
      <t xml:space="preserve"> </t>
    </r>
    <r>
      <rPr>
        <sz val="12"/>
        <rFont val="Times New Roman"/>
        <family val="1"/>
      </rPr>
      <t>rehospitalizāciju skaitā ieskaita pacientus, kas atkārtoti hospitalizēti tajā pašā vai nākamajā dienā, kuru nākamā hospitalizācija ir aprūpe vai rehabilitācija (atbilstoši NVD mājas lapā publicētā "Pārskats par uz mājām izrakstītiem pacientiem, kas atkārtoti hospitalizēti tajā pašā vai nākamajā dienā" izslēgšanas kritērijos GPF kodam)</t>
    </r>
  </si>
  <si>
    <r>
      <rPr>
        <vertAlign val="superscript"/>
        <sz val="12"/>
        <rFont val="Times New Roman"/>
        <family val="1"/>
      </rPr>
      <t xml:space="preserve">11 </t>
    </r>
    <r>
      <rPr>
        <sz val="12"/>
        <rFont val="Times New Roman"/>
        <family val="1"/>
      </rPr>
      <t>atbilstoši NVD mājas lapā publocētajam "Valsts apmaksājamo manipulāciju un to apmaksas nosacījumu saraksts" Lielo ķirurģisko operāciju klasifikatoram (10.kolonna)</t>
    </r>
  </si>
  <si>
    <r>
      <rPr>
        <vertAlign val="superscript"/>
        <sz val="12"/>
        <rFont val="Times New Roman"/>
        <family val="1"/>
      </rPr>
      <t xml:space="preserve">12 </t>
    </r>
    <r>
      <rPr>
        <sz val="12"/>
        <rFont val="Times New Roman"/>
        <family val="1"/>
      </rPr>
      <t>detalizēti skaidrojumi par noviržu iemesliem periodā no n gada sākuma līdz pārskata ceturkšņa beigām gadījumos, ja novirze ir virs 15%.</t>
    </r>
  </si>
  <si>
    <t>Kopā intelektuālie īpašumi</t>
  </si>
  <si>
    <t xml:space="preserve">Attīstības pasākumi un programmas </t>
  </si>
  <si>
    <t xml:space="preserve">Datorprogrammas </t>
  </si>
  <si>
    <t>Pārējās licences, koncesijas un patenti, preču zīmes un tamlīdzīgas tiesības</t>
  </si>
  <si>
    <t xml:space="preserve">Pārējie nemateriālie ieguldījumi </t>
  </si>
  <si>
    <t>Kopā nekustamie īpašumi</t>
  </si>
  <si>
    <t xml:space="preserve">Nedzīvojamās ēkas </t>
  </si>
  <si>
    <t xml:space="preserve">Zeme zem ēkām un būvēm </t>
  </si>
  <si>
    <t xml:space="preserve">Pārējā zeme </t>
  </si>
  <si>
    <t xml:space="preserve">Celtnes un būves </t>
  </si>
  <si>
    <t xml:space="preserve">Pārējais nekustamais īpašums </t>
  </si>
  <si>
    <t>Kapitālais remonts un rekonstrukcija</t>
  </si>
  <si>
    <t xml:space="preserve">Nepabeigtā būvniecība </t>
  </si>
  <si>
    <t>Kopā kustamie īpašumi</t>
  </si>
  <si>
    <t xml:space="preserve">Tehnoloģiskās iekārtas un mašīnas </t>
  </si>
  <si>
    <t>Medicīnas un laboratoijas iekārtas</t>
  </si>
  <si>
    <t xml:space="preserve">Anestezijas mašīna "carestation </t>
  </si>
  <si>
    <t>Zāģis oscilējošais Ortodrive - 4 gb</t>
  </si>
  <si>
    <t>Pasīvo nepārtraukto kustību izstrādes ierīces - elkoņa locītavai</t>
  </si>
  <si>
    <t>Rokas motors  UNIT- 2 gb</t>
  </si>
  <si>
    <t>Motors Orthodrive - 3 gb</t>
  </si>
  <si>
    <t>Monitors medicīniskais</t>
  </si>
  <si>
    <t>Artroskops-2 gb</t>
  </si>
  <si>
    <t>Pārējās medicīnas iekārtas</t>
  </si>
  <si>
    <t>Pārējās tehnoloģiskās iekārtas un mašīnas</t>
  </si>
  <si>
    <t xml:space="preserve">Transportlīdzekļi </t>
  </si>
  <si>
    <t xml:space="preserve">Saimniecības pamatlīdzekļi </t>
  </si>
  <si>
    <t>Ventilācijas sistēma</t>
  </si>
  <si>
    <t>Kondicionieris kasetes tipa</t>
  </si>
  <si>
    <t>Pārējie saimniecības pamatlīdzekļi</t>
  </si>
  <si>
    <t>Datortehnika, sakaru un cita biroja tehnika</t>
  </si>
  <si>
    <t>Disku masīvs</t>
  </si>
  <si>
    <t>Datori, monitori, printeri</t>
  </si>
  <si>
    <t xml:space="preserve">Pārējie iepriekš neklasificētie pamatlīdzekļi </t>
  </si>
  <si>
    <t xml:space="preserve">Ilgtermiņa ieguldījumi nomātajos pamatlīdzekļos </t>
  </si>
  <si>
    <t>Kopā ieguldījumi</t>
  </si>
  <si>
    <t>i</t>
  </si>
  <si>
    <t xml:space="preserve">     Skaidrojumi par novirzēm ir jāsniedz  sekojošiem Ieguldījumu tāmes pozīciju kodiem: 51000, 52000 un 53000.</t>
  </si>
  <si>
    <t>N.p.k.</t>
  </si>
  <si>
    <t>Atlikums uz pārskata perioda beigām</t>
  </si>
  <si>
    <t>t.sk. summa,
 kurai iestājies
 maks.termiņš</t>
  </si>
  <si>
    <t>Mazāk par 30 dienām kavētie maksājumi</t>
  </si>
  <si>
    <t>30 un vairāk dienas kavētie maksājumi</t>
  </si>
  <si>
    <t>Skaidrojumi</t>
  </si>
  <si>
    <t>1</t>
  </si>
  <si>
    <t>1.</t>
  </si>
  <si>
    <t>1.1.</t>
  </si>
  <si>
    <t>1.1.1.</t>
  </si>
  <si>
    <t>…</t>
  </si>
  <si>
    <t>1.1.2.</t>
  </si>
  <si>
    <t>utt.</t>
  </si>
  <si>
    <t>1.2.</t>
  </si>
  <si>
    <t>1.2.1.</t>
  </si>
  <si>
    <t>1.2.2.</t>
  </si>
  <si>
    <t>1.3.</t>
  </si>
  <si>
    <t>1.3.1.</t>
  </si>
  <si>
    <t>1.3.2.</t>
  </si>
  <si>
    <t>1.4.</t>
  </si>
  <si>
    <t>Citi kreditori</t>
  </si>
  <si>
    <t>1.4.1.</t>
  </si>
  <si>
    <t>1.4.2.</t>
  </si>
  <si>
    <t>2.</t>
  </si>
  <si>
    <t>2.1.</t>
  </si>
  <si>
    <t>2.1.1.</t>
  </si>
  <si>
    <t>2.1.2.</t>
  </si>
  <si>
    <t>2.2.</t>
  </si>
  <si>
    <t>2.2.1.</t>
  </si>
  <si>
    <t>2.2.2.</t>
  </si>
  <si>
    <t>2.3.</t>
  </si>
  <si>
    <t xml:space="preserve">No pircējiem saņemtie avansi </t>
  </si>
  <si>
    <t>2.3.1.</t>
  </si>
  <si>
    <t>2.3.2.</t>
  </si>
  <si>
    <t>2.4.</t>
  </si>
  <si>
    <r>
      <t xml:space="preserve">Parādi piegādātājiem un darbuzņēmējiem </t>
    </r>
    <r>
      <rPr>
        <b/>
        <vertAlign val="superscript"/>
        <sz val="12"/>
        <rFont val="Times New Roman"/>
        <family val="1"/>
      </rPr>
      <t>1</t>
    </r>
  </si>
  <si>
    <t>2.4.1.</t>
  </si>
  <si>
    <t>2.4.2.</t>
  </si>
  <si>
    <t>2.5.</t>
  </si>
  <si>
    <t>Nodokļi un sociālās nodroš.maksājumi</t>
  </si>
  <si>
    <t>2.5.1.</t>
  </si>
  <si>
    <t>2.5.2.</t>
  </si>
  <si>
    <t>2.5.3.</t>
  </si>
  <si>
    <t>2.5.4.</t>
  </si>
  <si>
    <t>2.6.</t>
  </si>
  <si>
    <t xml:space="preserve">Pārējie kreditori </t>
  </si>
  <si>
    <t>2.6.1.</t>
  </si>
  <si>
    <t>2.6.2.</t>
  </si>
  <si>
    <t>2.7.</t>
  </si>
  <si>
    <t>2.7.1.</t>
  </si>
  <si>
    <t>2.7.2.</t>
  </si>
  <si>
    <t>2.8.</t>
  </si>
  <si>
    <t>2.8.1.</t>
  </si>
  <si>
    <t>Debitori</t>
  </si>
  <si>
    <r>
      <t>Pircēju,pasūtītāju parādi</t>
    </r>
    <r>
      <rPr>
        <i/>
        <sz val="12"/>
        <rFont val="Times New Roman"/>
        <family val="1"/>
      </rPr>
      <t xml:space="preserve"> </t>
    </r>
    <r>
      <rPr>
        <b/>
        <vertAlign val="superscript"/>
        <sz val="12"/>
        <rFont val="Times New Roman"/>
        <family val="1"/>
      </rPr>
      <t>2</t>
    </r>
  </si>
  <si>
    <t>Radniecīgo uzņēmumu parādi</t>
  </si>
  <si>
    <t>3.</t>
  </si>
  <si>
    <t>Citi debitori</t>
  </si>
  <si>
    <t>3.1.</t>
  </si>
  <si>
    <t>3.2.</t>
  </si>
  <si>
    <t>4.</t>
  </si>
  <si>
    <r>
      <t xml:space="preserve">Nākamo periodu izmaksas </t>
    </r>
    <r>
      <rPr>
        <b/>
        <vertAlign val="superscript"/>
        <sz val="12"/>
        <rFont val="Times New Roman"/>
        <family val="1"/>
      </rPr>
      <t>2</t>
    </r>
  </si>
  <si>
    <t>4.1.</t>
  </si>
  <si>
    <t>4.2.</t>
  </si>
  <si>
    <t>4.3.</t>
  </si>
  <si>
    <t>4.4.</t>
  </si>
  <si>
    <t>4.5.</t>
  </si>
  <si>
    <t>5.</t>
  </si>
  <si>
    <r>
      <t xml:space="preserve">Uzkrātie ieņēmumi </t>
    </r>
    <r>
      <rPr>
        <b/>
        <vertAlign val="superscript"/>
        <sz val="12"/>
        <rFont val="Times New Roman"/>
        <family val="1"/>
      </rPr>
      <t>2</t>
    </r>
  </si>
  <si>
    <t>5.1.</t>
  </si>
  <si>
    <t>5.2.</t>
  </si>
  <si>
    <t>6.</t>
  </si>
  <si>
    <t xml:space="preserve">Pārējie debitori </t>
  </si>
  <si>
    <r>
      <rPr>
        <vertAlign val="superscript"/>
        <sz val="12"/>
        <rFont val="Times New Roman"/>
        <family val="1"/>
      </rPr>
      <t>1</t>
    </r>
    <r>
      <rPr>
        <sz val="12"/>
        <rFont val="Times New Roman"/>
        <family val="1"/>
      </rPr>
      <t xml:space="preserve"> jānorāda 5 lielākos kreditorus, visus kavētos maksājumus un pārējo kreditoru kopsummu un kreditoru skaitu</t>
    </r>
  </si>
  <si>
    <r>
      <rPr>
        <vertAlign val="superscript"/>
        <sz val="12"/>
        <rFont val="Times New Roman"/>
        <family val="1"/>
      </rPr>
      <t>2</t>
    </r>
    <r>
      <rPr>
        <sz val="12"/>
        <rFont val="Times New Roman"/>
        <family val="1"/>
      </rPr>
      <t xml:space="preserve"> jānorāda 5 lielākos debitorus, visus kavētos maksājumus, pacientu parādu kopsummu un pārējo debitoru kopsummu un debitoru skaitu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</si>
</sst>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quot;€&quot;\ * #,##0.00_-;_-&quot;€&quot;\ * &quot;-&quot;??_-;_-@_-"/>
    <numFmt numFmtId="165" formatCode="_-* #,##0.00\ _€_-;\-* #,##0.00\ _€_-;_-* &quot;-&quot;??\ _€_-;_-@_-"/>
    <numFmt numFmtId="166" formatCode="0.0%"/>
    <numFmt numFmtId="167" formatCode="_-* #,##0.00\ _L_s_-;\-* #,##0.00\ _L_s_-;_-* &quot;-&quot;??\ _L_s_-;_-@_-"/>
    <numFmt numFmtId="168" formatCode="#,##0\ _€"/>
    <numFmt numFmtId="169" formatCode="#,##0.00\ _€"/>
  </numFmts>
  <fonts count="83" x14ac:knownFonts="1">
    <font>
      <sz val="10"/>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font>
    <font>
      <sz val="11"/>
      <color indexed="8"/>
      <name val="Calibri"/>
      <family val="2"/>
    </font>
    <font>
      <sz val="12"/>
      <color indexed="8"/>
      <name val="Times New Roman"/>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4"/>
      <name val="Calibri"/>
      <family val="2"/>
      <charset val="186"/>
    </font>
    <font>
      <b/>
      <sz val="13"/>
      <color indexed="54"/>
      <name val="Calibri"/>
      <family val="2"/>
      <charset val="186"/>
    </font>
    <font>
      <b/>
      <sz val="11"/>
      <color indexed="54"/>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sz val="18"/>
      <color indexed="54"/>
      <name val="Calibri Light"/>
      <family val="2"/>
      <charset val="186"/>
    </font>
    <font>
      <b/>
      <sz val="11"/>
      <color indexed="8"/>
      <name val="Calibri"/>
      <family val="2"/>
      <charset val="186"/>
    </font>
    <font>
      <sz val="11"/>
      <color indexed="10"/>
      <name val="Calibri"/>
      <family val="2"/>
      <charset val="186"/>
    </font>
    <font>
      <sz val="10"/>
      <name val="Helv"/>
      <charset val="186"/>
    </font>
    <font>
      <b/>
      <sz val="15"/>
      <color indexed="56"/>
      <name val="Calibri"/>
      <family val="2"/>
      <charset val="186"/>
    </font>
    <font>
      <b/>
      <sz val="13"/>
      <color indexed="56"/>
      <name val="Calibri"/>
      <family val="2"/>
      <charset val="186"/>
    </font>
    <font>
      <b/>
      <sz val="11"/>
      <color indexed="56"/>
      <name val="Calibri"/>
      <family val="2"/>
      <charset val="186"/>
    </font>
    <font>
      <u/>
      <sz val="10"/>
      <color indexed="12"/>
      <name val="Arial"/>
      <family val="2"/>
      <charset val="186"/>
    </font>
    <font>
      <sz val="12"/>
      <color indexed="8"/>
      <name val="Calibri"/>
      <family val="2"/>
      <charset val="186"/>
    </font>
    <font>
      <sz val="10"/>
      <color indexed="8"/>
      <name val="MS Sans Serif"/>
      <family val="2"/>
      <charset val="186"/>
    </font>
    <font>
      <sz val="12"/>
      <name val="Times New Roman"/>
      <family val="1"/>
      <charset val="186"/>
    </font>
    <font>
      <sz val="10"/>
      <name val="Garamond"/>
      <family val="1"/>
      <charset val="186"/>
    </font>
    <font>
      <sz val="10"/>
      <name val="Tahoma"/>
      <family val="2"/>
      <charset val="186"/>
    </font>
    <font>
      <b/>
      <sz val="18"/>
      <color indexed="56"/>
      <name val="Cambria"/>
      <family val="2"/>
      <charset val="186"/>
    </font>
    <font>
      <sz val="11"/>
      <color theme="1"/>
      <name val="Calibri"/>
      <family val="2"/>
      <scheme val="minor"/>
    </font>
    <font>
      <sz val="14"/>
      <name val="Arial"/>
      <family val="2"/>
      <charset val="186"/>
    </font>
    <font>
      <sz val="14"/>
      <name val="Times New Roman"/>
      <family val="1"/>
    </font>
    <font>
      <b/>
      <sz val="14"/>
      <name val="Times New Roman"/>
      <family val="1"/>
    </font>
    <font>
      <i/>
      <sz val="14"/>
      <name val="Times New Roman"/>
      <family val="1"/>
    </font>
    <font>
      <b/>
      <i/>
      <sz val="14"/>
      <name val="Times New Roman"/>
      <family val="1"/>
    </font>
    <font>
      <b/>
      <sz val="14"/>
      <name val="Times New Roman"/>
      <family val="1"/>
      <charset val="186"/>
    </font>
    <font>
      <sz val="14"/>
      <name val="Times New Roman"/>
      <family val="1"/>
      <charset val="186"/>
    </font>
    <font>
      <b/>
      <sz val="12"/>
      <name val="Times New Roman"/>
      <family val="1"/>
    </font>
    <font>
      <sz val="12"/>
      <name val="Times New Roman"/>
      <family val="1"/>
    </font>
    <font>
      <i/>
      <sz val="12"/>
      <name val="Times New Roman"/>
      <family val="1"/>
    </font>
    <font>
      <sz val="8"/>
      <name val="Arial"/>
      <family val="2"/>
      <charset val="186"/>
    </font>
    <font>
      <vertAlign val="superscript"/>
      <sz val="12"/>
      <name val="Times New Roman"/>
      <family val="1"/>
    </font>
    <font>
      <b/>
      <i/>
      <sz val="12"/>
      <name val="Times New Roman"/>
      <family val="1"/>
    </font>
    <font>
      <u/>
      <sz val="12"/>
      <name val="Times New Roman"/>
      <family val="1"/>
    </font>
    <font>
      <b/>
      <u/>
      <sz val="12"/>
      <name val="Times New Roman"/>
      <family val="1"/>
    </font>
    <font>
      <sz val="12"/>
      <color theme="1"/>
      <name val="Calibri"/>
      <family val="2"/>
      <charset val="186"/>
      <scheme val="minor"/>
    </font>
    <font>
      <i/>
      <vertAlign val="superscript"/>
      <sz val="12"/>
      <name val="Times New Roman"/>
      <family val="1"/>
    </font>
    <font>
      <b/>
      <sz val="12"/>
      <color rgb="FF414142"/>
      <name val="Times New Roman"/>
      <family val="1"/>
    </font>
    <font>
      <b/>
      <sz val="12"/>
      <name val="Times New Roman"/>
      <family val="1"/>
      <charset val="186"/>
    </font>
    <font>
      <i/>
      <sz val="12"/>
      <name val="Times New Roman"/>
      <family val="1"/>
      <charset val="186"/>
    </font>
    <font>
      <b/>
      <i/>
      <sz val="12"/>
      <name val="Times New Roman"/>
      <family val="1"/>
      <charset val="186"/>
    </font>
    <font>
      <b/>
      <i/>
      <sz val="14"/>
      <name val="Times New Roman"/>
      <family val="1"/>
      <charset val="186"/>
    </font>
    <font>
      <u/>
      <sz val="12"/>
      <name val="Times New Roman"/>
      <family val="1"/>
      <charset val="186"/>
    </font>
    <font>
      <sz val="12"/>
      <name val="Arial"/>
      <family val="2"/>
      <charset val="186"/>
    </font>
    <font>
      <b/>
      <sz val="14"/>
      <name val="Arial"/>
      <family val="2"/>
      <charset val="186"/>
    </font>
    <font>
      <b/>
      <vertAlign val="superscript"/>
      <sz val="12"/>
      <name val="Times New Roman"/>
      <family val="1"/>
    </font>
    <font>
      <sz val="12"/>
      <color rgb="FFFF0000"/>
      <name val="Times New Roman"/>
      <family val="1"/>
    </font>
    <font>
      <b/>
      <sz val="12"/>
      <color rgb="FFFF0000"/>
      <name val="Times New Roman"/>
      <family val="1"/>
    </font>
    <font>
      <sz val="12"/>
      <color rgb="FFFF0000"/>
      <name val="Times New Roman"/>
      <family val="1"/>
      <charset val="186"/>
    </font>
    <font>
      <sz val="11"/>
      <color rgb="FF000000"/>
      <name val="Aptos Narrow"/>
      <family val="2"/>
    </font>
    <font>
      <sz val="12"/>
      <color rgb="FF000000"/>
      <name val="Times New Roman"/>
      <family val="1"/>
      <charset val="186"/>
    </font>
    <font>
      <sz val="12"/>
      <color rgb="FF000000"/>
      <name val="Times New Roman"/>
      <family val="1"/>
    </font>
    <font>
      <i/>
      <sz val="11"/>
      <color rgb="FF000000"/>
      <name val="Aptos"/>
      <family val="2"/>
      <charset val="1"/>
    </font>
    <font>
      <i/>
      <sz val="12"/>
      <color rgb="FF000000"/>
      <name val="Times New Roman"/>
      <family val="1"/>
      <charset val="186"/>
    </font>
    <font>
      <b/>
      <sz val="12"/>
      <color rgb="FF000000"/>
      <name val="Times New Roman"/>
      <family val="1"/>
    </font>
    <font>
      <i/>
      <sz val="12"/>
      <color rgb="FF000000"/>
      <name val="Times New Roman"/>
      <family val="1"/>
    </font>
    <font>
      <b/>
      <sz val="12"/>
      <color rgb="FF000000"/>
      <name val="Times New Roman"/>
      <family val="1"/>
      <charset val="186"/>
    </font>
    <font>
      <sz val="11"/>
      <color rgb="FF000000"/>
      <name val="Aptos Narrow"/>
      <family val="2"/>
      <charset val="186"/>
    </font>
    <font>
      <sz val="9"/>
      <name val="Cambria"/>
      <family val="1"/>
      <charset val="186"/>
    </font>
    <font>
      <sz val="9"/>
      <color rgb="FFFF0000"/>
      <name val="Cambria"/>
      <family val="1"/>
      <charset val="186"/>
    </font>
    <font>
      <sz val="14"/>
      <color rgb="FF000000"/>
      <name val="Arial"/>
      <family val="2"/>
      <charset val="186"/>
    </font>
    <font>
      <sz val="14"/>
      <color rgb="FF000000"/>
      <name val="Times New Roman"/>
      <family val="1"/>
      <charset val="186"/>
    </font>
    <font>
      <vertAlign val="superscript"/>
      <sz val="12"/>
      <color rgb="FF000000"/>
      <name val="Times New Roman"/>
      <family val="1"/>
    </font>
    <font>
      <b/>
      <i/>
      <sz val="12"/>
      <color rgb="FF000000"/>
      <name val="Times New Roman"/>
      <family val="1"/>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9"/>
      </patternFill>
    </fill>
    <fill>
      <patternFill patternType="solid">
        <fgColor indexed="42"/>
      </patternFill>
    </fill>
    <fill>
      <patternFill patternType="solid">
        <fgColor indexed="26"/>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6DCE4"/>
        <bgColor rgb="FF000000"/>
      </patternFill>
    </fill>
    <fill>
      <patternFill patternType="solid">
        <fgColor rgb="FFDDEBF7"/>
        <bgColor rgb="FF000000"/>
      </patternFill>
    </fill>
    <fill>
      <patternFill patternType="solid">
        <fgColor rgb="FFFFFF00"/>
        <bgColor indexed="64"/>
      </patternFill>
    </fill>
    <fill>
      <patternFill patternType="solid">
        <fgColor rgb="FFD9D9D9"/>
        <bgColor rgb="FF000000"/>
      </patternFill>
    </fill>
    <fill>
      <patternFill patternType="solid">
        <fgColor theme="0"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diagonalUp="1" diagonalDown="1">
      <left style="thin">
        <color indexed="64"/>
      </left>
      <right style="thin">
        <color indexed="64"/>
      </right>
      <top style="thin">
        <color rgb="FF000000"/>
      </top>
      <bottom style="thin">
        <color rgb="FF000000"/>
      </bottom>
      <diagonal style="thin">
        <color indexed="64"/>
      </diagonal>
    </border>
    <border>
      <left/>
      <right/>
      <top style="thin">
        <color indexed="64"/>
      </top>
      <bottom/>
      <diagonal/>
    </border>
    <border>
      <left style="medium">
        <color indexed="64"/>
      </left>
      <right/>
      <top style="medium">
        <color indexed="64"/>
      </top>
      <bottom style="medium">
        <color indexed="64"/>
      </bottom>
      <diagonal/>
    </border>
  </borders>
  <cellStyleXfs count="1468">
    <xf numFmtId="0" fontId="0" fillId="0" borderId="0"/>
    <xf numFmtId="0" fontId="6" fillId="0" borderId="0"/>
    <xf numFmtId="0" fontId="6" fillId="0" borderId="0"/>
    <xf numFmtId="0" fontId="5" fillId="0" borderId="0"/>
    <xf numFmtId="0" fontId="4" fillId="0" borderId="0"/>
    <xf numFmtId="0" fontId="6" fillId="0" borderId="0"/>
    <xf numFmtId="0" fontId="6" fillId="0" borderId="0"/>
    <xf numFmtId="0" fontId="3" fillId="0" borderId="0"/>
    <xf numFmtId="0" fontId="2" fillId="0" borderId="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27" fillId="0"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7"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7"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7"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7"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7"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8"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3" fillId="13" borderId="12"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0" fontId="14" fillId="27" borderId="13" applyNumberFormat="0" applyAlignment="0" applyProtection="0"/>
    <xf numFmtId="41" fontId="6" fillId="0" borderId="0" applyFont="0" applyFill="0" applyBorder="0" applyAlignment="0" applyProtection="0"/>
    <xf numFmtId="165" fontId="10"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7" fillId="0" borderId="14"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18" fillId="0" borderId="16"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29" fillId="0" borderId="17"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19" fillId="0" borderId="18"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7" borderId="12" applyNumberFormat="0" applyAlignment="0" applyProtection="0"/>
    <xf numFmtId="0" fontId="20" fillId="7"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0" fillId="13" borderId="12" applyNumberFormat="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1" fillId="0" borderId="20" applyNumberFormat="0" applyFill="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10"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0" fontId="10" fillId="0" borderId="0"/>
    <xf numFmtId="0" fontId="10" fillId="0" borderId="0"/>
    <xf numFmtId="0" fontId="6" fillId="0" borderId="0"/>
    <xf numFmtId="0" fontId="33" fillId="0" borderId="0" applyNumberFormat="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6" fillId="0" borderId="0"/>
    <xf numFmtId="0" fontId="6" fillId="0" borderId="0"/>
    <xf numFmtId="0" fontId="1" fillId="0" borderId="0"/>
    <xf numFmtId="0" fontId="1"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3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35" fillId="0" borderId="0" applyFont="0" applyFill="0" applyAlignment="0" applyProtection="0"/>
    <xf numFmtId="0" fontId="35" fillId="0" borderId="0" applyFont="0" applyFill="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33" fillId="11" borderId="21" applyNumberFormat="0" applyFont="0" applyAlignment="0" applyProtection="0"/>
    <xf numFmtId="0" fontId="3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6" fillId="11" borderId="21" applyNumberFormat="0" applyFon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0" fontId="23" fillId="13" borderId="22"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3"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5" fillId="0" borderId="24"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6" fillId="0" borderId="0"/>
  </cellStyleXfs>
  <cellXfs count="813">
    <xf numFmtId="0" fontId="0" fillId="0" borderId="0" xfId="0"/>
    <xf numFmtId="3" fontId="40" fillId="0" borderId="0" xfId="0" applyNumberFormat="1" applyFont="1" applyAlignment="1">
      <alignment vertical="center"/>
    </xf>
    <xf numFmtId="3" fontId="41" fillId="0" borderId="0" xfId="0" applyNumberFormat="1" applyFont="1" applyAlignment="1">
      <alignment vertical="center"/>
    </xf>
    <xf numFmtId="3" fontId="43" fillId="0" borderId="0" xfId="0" applyNumberFormat="1" applyFont="1" applyAlignment="1">
      <alignment vertical="center"/>
    </xf>
    <xf numFmtId="3" fontId="40" fillId="0" borderId="0" xfId="0" applyNumberFormat="1" applyFont="1" applyAlignment="1">
      <alignment horizontal="center" vertical="center"/>
    </xf>
    <xf numFmtId="0" fontId="39" fillId="0" borderId="0" xfId="0" applyFont="1" applyAlignment="1">
      <alignment vertical="center"/>
    </xf>
    <xf numFmtId="0" fontId="39" fillId="0" borderId="0" xfId="1467" applyFont="1" applyAlignment="1">
      <alignment vertical="center"/>
    </xf>
    <xf numFmtId="0" fontId="45" fillId="0" borderId="0" xfId="1467" applyFont="1" applyAlignment="1" applyProtection="1">
      <alignment vertical="center"/>
      <protection locked="0"/>
    </xf>
    <xf numFmtId="0" fontId="45" fillId="0" borderId="0" xfId="1467" applyFont="1" applyAlignment="1">
      <alignment vertical="center"/>
    </xf>
    <xf numFmtId="0" fontId="45" fillId="0" borderId="0" xfId="1467" applyFont="1" applyAlignment="1">
      <alignment horizontal="center" vertical="center"/>
    </xf>
    <xf numFmtId="0" fontId="40" fillId="0" borderId="0" xfId="0" applyFont="1" applyAlignment="1">
      <alignment vertical="center"/>
    </xf>
    <xf numFmtId="0" fontId="40" fillId="0" borderId="0" xfId="0" applyFont="1" applyAlignment="1">
      <alignment horizontal="right" vertical="center"/>
    </xf>
    <xf numFmtId="0" fontId="40" fillId="0" borderId="0" xfId="0" applyFont="1" applyAlignment="1">
      <alignment vertical="center" wrapText="1"/>
    </xf>
    <xf numFmtId="0" fontId="42" fillId="0" borderId="0" xfId="0" applyFont="1" applyAlignment="1">
      <alignment horizontal="center" vertical="center"/>
    </xf>
    <xf numFmtId="0" fontId="46" fillId="0" borderId="1" xfId="1" applyFont="1" applyBorder="1" applyAlignment="1">
      <alignment horizontal="center" vertical="center"/>
    </xf>
    <xf numFmtId="3" fontId="47" fillId="0" borderId="1" xfId="6" applyNumberFormat="1" applyFont="1" applyBorder="1" applyAlignment="1">
      <alignment vertical="center" wrapText="1"/>
    </xf>
    <xf numFmtId="3" fontId="47" fillId="2" borderId="1" xfId="6" applyNumberFormat="1" applyFont="1" applyFill="1" applyBorder="1" applyAlignment="1">
      <alignment vertical="center" wrapText="1"/>
    </xf>
    <xf numFmtId="49" fontId="47" fillId="0" borderId="1" xfId="1" applyNumberFormat="1" applyFont="1" applyBorder="1" applyAlignment="1">
      <alignment horizontal="center" vertical="center"/>
    </xf>
    <xf numFmtId="3" fontId="47" fillId="0" borderId="1" xfId="0" applyNumberFormat="1" applyFont="1" applyBorder="1" applyAlignment="1" applyProtection="1">
      <alignment horizontal="right" vertical="center"/>
      <protection locked="0"/>
    </xf>
    <xf numFmtId="0" fontId="44" fillId="0" borderId="0" xfId="1467" applyFont="1" applyAlignment="1">
      <alignment horizontal="center" vertical="center"/>
    </xf>
    <xf numFmtId="0" fontId="44" fillId="0" borderId="0" xfId="1467" applyFont="1" applyAlignment="1">
      <alignment vertical="center" wrapText="1"/>
    </xf>
    <xf numFmtId="3" fontId="44" fillId="0" borderId="0" xfId="1467" applyNumberFormat="1" applyFont="1" applyAlignment="1">
      <alignment horizontal="center" vertical="center"/>
    </xf>
    <xf numFmtId="49" fontId="44" fillId="0" borderId="0" xfId="1467" applyNumberFormat="1" applyFont="1" applyAlignment="1">
      <alignment horizontal="center" vertical="center"/>
    </xf>
    <xf numFmtId="0" fontId="47" fillId="0" borderId="1" xfId="1467" applyFont="1" applyBorder="1" applyAlignment="1">
      <alignment horizontal="center" vertical="center"/>
    </xf>
    <xf numFmtId="3" fontId="47" fillId="0" borderId="1" xfId="0" applyNumberFormat="1" applyFont="1" applyBorder="1" applyAlignment="1">
      <alignment horizontal="center" vertical="center" wrapText="1"/>
    </xf>
    <xf numFmtId="3" fontId="48" fillId="3" borderId="1" xfId="0" applyNumberFormat="1" applyFont="1" applyFill="1" applyBorder="1" applyAlignment="1">
      <alignment horizontal="center" vertical="center" wrapText="1"/>
    </xf>
    <xf numFmtId="166" fontId="48" fillId="3" borderId="1" xfId="12" applyNumberFormat="1" applyFont="1" applyFill="1" applyBorder="1" applyAlignment="1" applyProtection="1">
      <alignment horizontal="center" vertical="center" wrapText="1"/>
    </xf>
    <xf numFmtId="3" fontId="48" fillId="3" borderId="1" xfId="12" applyNumberFormat="1" applyFont="1" applyFill="1" applyBorder="1" applyAlignment="1" applyProtection="1">
      <alignment horizontal="center" vertical="center" wrapText="1"/>
    </xf>
    <xf numFmtId="9" fontId="48" fillId="0" borderId="1" xfId="12" applyFont="1" applyFill="1" applyBorder="1" applyAlignment="1" applyProtection="1">
      <alignment horizontal="center" vertical="center"/>
      <protection locked="0"/>
    </xf>
    <xf numFmtId="9" fontId="51" fillId="28" borderId="1" xfId="12" applyFont="1" applyFill="1" applyBorder="1" applyAlignment="1" applyProtection="1">
      <alignment horizontal="center" vertical="center"/>
    </xf>
    <xf numFmtId="3" fontId="52" fillId="0" borderId="0" xfId="0" applyNumberFormat="1" applyFont="1" applyAlignment="1">
      <alignment vertical="center"/>
    </xf>
    <xf numFmtId="3" fontId="47" fillId="2" borderId="1" xfId="6" applyNumberFormat="1" applyFont="1" applyFill="1" applyBorder="1" applyAlignment="1">
      <alignment horizontal="center" vertical="center" wrapText="1"/>
    </xf>
    <xf numFmtId="0" fontId="47" fillId="0" borderId="0" xfId="0" applyFont="1" applyAlignment="1">
      <alignment vertical="center"/>
    </xf>
    <xf numFmtId="0" fontId="47" fillId="0" borderId="1" xfId="0" applyFont="1" applyBorder="1" applyAlignment="1">
      <alignment horizontal="center" vertical="center"/>
    </xf>
    <xf numFmtId="0" fontId="46" fillId="28" borderId="1" xfId="1" applyFont="1" applyFill="1" applyBorder="1" applyAlignment="1">
      <alignment horizontal="left" vertical="center"/>
    </xf>
    <xf numFmtId="3" fontId="47" fillId="2" borderId="1" xfId="6" applyNumberFormat="1" applyFont="1" applyFill="1" applyBorder="1" applyAlignment="1">
      <alignment horizontal="left" vertical="center" wrapText="1"/>
    </xf>
    <xf numFmtId="0" fontId="47" fillId="0" borderId="0" xfId="0" applyFont="1" applyAlignment="1" applyProtection="1">
      <alignment vertical="center"/>
      <protection locked="0"/>
    </xf>
    <xf numFmtId="0" fontId="47" fillId="0" borderId="1" xfId="0" applyFont="1" applyBorder="1" applyAlignment="1" applyProtection="1">
      <alignment vertical="center"/>
      <protection locked="0"/>
    </xf>
    <xf numFmtId="3" fontId="47" fillId="0" borderId="1" xfId="6" applyNumberFormat="1" applyFont="1" applyBorder="1" applyAlignment="1">
      <alignment horizontal="left" vertical="center" wrapText="1"/>
    </xf>
    <xf numFmtId="9" fontId="48" fillId="2" borderId="1" xfId="12" applyFont="1" applyFill="1" applyBorder="1" applyAlignment="1" applyProtection="1">
      <alignment horizontal="center" vertical="center"/>
      <protection locked="0"/>
    </xf>
    <xf numFmtId="0" fontId="47" fillId="2" borderId="1" xfId="0" applyFont="1" applyFill="1" applyBorder="1" applyAlignment="1">
      <alignment horizontal="left" vertical="center"/>
    </xf>
    <xf numFmtId="0" fontId="46" fillId="0" borderId="0" xfId="1" applyFont="1" applyAlignment="1">
      <alignment horizontal="left" vertical="center"/>
    </xf>
    <xf numFmtId="3" fontId="46" fillId="0" borderId="0" xfId="6" applyNumberFormat="1" applyFont="1" applyAlignment="1">
      <alignment horizontal="left" vertical="center"/>
    </xf>
    <xf numFmtId="0" fontId="48" fillId="0" borderId="0" xfId="0" applyFont="1" applyAlignment="1" applyProtection="1">
      <alignment horizontal="center" vertical="center"/>
      <protection locked="0"/>
    </xf>
    <xf numFmtId="3" fontId="46" fillId="28" borderId="1" xfId="6" applyNumberFormat="1" applyFont="1" applyFill="1" applyBorder="1" applyAlignment="1">
      <alignment horizontal="left" vertical="center" wrapText="1"/>
    </xf>
    <xf numFmtId="0" fontId="46" fillId="28" borderId="1" xfId="6" applyFont="1" applyFill="1" applyBorder="1" applyAlignment="1">
      <alignment horizontal="left" vertical="center" wrapText="1"/>
    </xf>
    <xf numFmtId="3" fontId="46" fillId="28" borderId="1" xfId="6" applyNumberFormat="1" applyFont="1" applyFill="1" applyBorder="1" applyAlignment="1">
      <alignment horizontal="left" vertical="center"/>
    </xf>
    <xf numFmtId="0" fontId="47" fillId="0" borderId="0" xfId="1467" applyFont="1" applyAlignment="1">
      <alignment horizontal="left" vertical="top" wrapText="1"/>
    </xf>
    <xf numFmtId="0" fontId="48" fillId="0" borderId="0" xfId="0" applyFont="1" applyAlignment="1">
      <alignment horizontal="center" vertical="center"/>
    </xf>
    <xf numFmtId="0" fontId="47" fillId="2" borderId="1" xfId="6" applyFont="1" applyFill="1" applyBorder="1" applyAlignment="1">
      <alignment horizontal="center" vertical="center"/>
    </xf>
    <xf numFmtId="0" fontId="47" fillId="2" borderId="1" xfId="6" applyFont="1" applyFill="1" applyBorder="1" applyAlignment="1">
      <alignment vertical="center" wrapText="1"/>
    </xf>
    <xf numFmtId="3" fontId="47" fillId="2" borderId="1" xfId="6" applyNumberFormat="1" applyFont="1" applyFill="1" applyBorder="1" applyAlignment="1">
      <alignment horizontal="right" vertical="center" wrapText="1"/>
    </xf>
    <xf numFmtId="3" fontId="48" fillId="2" borderId="1" xfId="6" applyNumberFormat="1" applyFont="1" applyFill="1" applyBorder="1" applyAlignment="1">
      <alignment horizontal="center" vertical="center" wrapText="1"/>
    </xf>
    <xf numFmtId="9" fontId="48" fillId="2" borderId="1" xfId="12" applyFont="1" applyFill="1" applyBorder="1" applyAlignment="1" applyProtection="1">
      <alignment horizontal="center" vertical="center" wrapText="1"/>
    </xf>
    <xf numFmtId="49" fontId="47" fillId="2" borderId="25" xfId="6" applyNumberFormat="1" applyFont="1" applyFill="1" applyBorder="1" applyAlignment="1">
      <alignment horizontal="left" vertical="center" wrapText="1"/>
    </xf>
    <xf numFmtId="0" fontId="47" fillId="2" borderId="1" xfId="6" applyFont="1" applyFill="1" applyBorder="1" applyAlignment="1">
      <alignment horizontal="left" vertical="center" wrapText="1" indent="3"/>
    </xf>
    <xf numFmtId="49" fontId="47" fillId="2" borderId="4" xfId="6" applyNumberFormat="1" applyFont="1" applyFill="1" applyBorder="1" applyAlignment="1">
      <alignment horizontal="center" vertical="center" wrapText="1"/>
    </xf>
    <xf numFmtId="3" fontId="47" fillId="2" borderId="1" xfId="0" applyNumberFormat="1" applyFont="1" applyFill="1" applyBorder="1" applyAlignment="1">
      <alignment horizontal="left" vertical="center" wrapText="1" indent="3"/>
    </xf>
    <xf numFmtId="3" fontId="47" fillId="2" borderId="1" xfId="0" applyNumberFormat="1" applyFont="1" applyFill="1" applyBorder="1" applyAlignment="1">
      <alignment horizontal="left" vertical="center" wrapText="1"/>
    </xf>
    <xf numFmtId="3" fontId="47" fillId="2" borderId="1" xfId="6" applyNumberFormat="1" applyFont="1" applyFill="1" applyBorder="1" applyAlignment="1">
      <alignment horizontal="right" vertical="center"/>
    </xf>
    <xf numFmtId="3" fontId="48" fillId="2" borderId="1" xfId="6" applyNumberFormat="1" applyFont="1" applyFill="1" applyBorder="1" applyAlignment="1">
      <alignment horizontal="center" vertical="center"/>
    </xf>
    <xf numFmtId="9" fontId="48" fillId="2" borderId="1" xfId="12" applyFont="1" applyFill="1" applyBorder="1" applyAlignment="1" applyProtection="1">
      <alignment horizontal="center" vertical="center"/>
    </xf>
    <xf numFmtId="49" fontId="47" fillId="2" borderId="4" xfId="6" applyNumberFormat="1" applyFont="1" applyFill="1" applyBorder="1" applyAlignment="1">
      <alignment horizontal="center" vertical="center"/>
    </xf>
    <xf numFmtId="0" fontId="47" fillId="2" borderId="1" xfId="6" applyFont="1" applyFill="1" applyBorder="1" applyAlignment="1">
      <alignment horizontal="left" vertical="center" wrapText="1"/>
    </xf>
    <xf numFmtId="3" fontId="47" fillId="2" borderId="1" xfId="6" applyNumberFormat="1" applyFont="1" applyFill="1" applyBorder="1" applyAlignment="1" applyProtection="1">
      <alignment horizontal="right" vertical="center"/>
      <protection locked="0"/>
    </xf>
    <xf numFmtId="3" fontId="48" fillId="2" borderId="1" xfId="6" applyNumberFormat="1" applyFont="1" applyFill="1" applyBorder="1" applyAlignment="1" applyProtection="1">
      <alignment horizontal="center" vertical="center"/>
      <protection locked="0"/>
    </xf>
    <xf numFmtId="3" fontId="47" fillId="2" borderId="1" xfId="1" applyNumberFormat="1" applyFont="1" applyFill="1" applyBorder="1" applyAlignment="1">
      <alignment horizontal="left" vertical="center" wrapText="1"/>
    </xf>
    <xf numFmtId="0" fontId="47" fillId="0" borderId="1" xfId="0" applyFont="1" applyBorder="1" applyAlignment="1">
      <alignment vertical="center" wrapText="1"/>
    </xf>
    <xf numFmtId="3" fontId="48" fillId="0" borderId="1" xfId="0" applyNumberFormat="1"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protection locked="0"/>
    </xf>
    <xf numFmtId="49" fontId="46" fillId="0" borderId="1" xfId="0" applyNumberFormat="1" applyFont="1" applyBorder="1" applyAlignment="1" applyProtection="1">
      <alignment horizontal="left" vertical="center"/>
      <protection locked="0"/>
    </xf>
    <xf numFmtId="3" fontId="47" fillId="0" borderId="1" xfId="0" applyNumberFormat="1" applyFont="1" applyBorder="1" applyAlignment="1">
      <alignment horizontal="right" vertical="center"/>
    </xf>
    <xf numFmtId="9" fontId="48" fillId="0" borderId="1" xfId="12" applyFont="1" applyFill="1" applyBorder="1" applyAlignment="1" applyProtection="1">
      <alignment horizontal="center" vertical="center"/>
    </xf>
    <xf numFmtId="0" fontId="47" fillId="2" borderId="1" xfId="0" applyFont="1" applyFill="1" applyBorder="1" applyAlignment="1">
      <alignment horizontal="center" vertical="center"/>
    </xf>
    <xf numFmtId="0" fontId="47" fillId="2" borderId="1" xfId="0" applyFont="1" applyFill="1" applyBorder="1" applyAlignment="1">
      <alignment horizontal="left" vertical="center" wrapText="1" indent="3"/>
    </xf>
    <xf numFmtId="3" fontId="47" fillId="2" borderId="1" xfId="0" applyNumberFormat="1" applyFont="1" applyFill="1" applyBorder="1" applyAlignment="1">
      <alignment horizontal="right" vertical="center"/>
    </xf>
    <xf numFmtId="3" fontId="48" fillId="2" borderId="1" xfId="0" applyNumberFormat="1" applyFont="1" applyFill="1" applyBorder="1" applyAlignment="1">
      <alignment horizontal="center" vertical="center"/>
    </xf>
    <xf numFmtId="49" fontId="46" fillId="0" borderId="4" xfId="0" applyNumberFormat="1" applyFont="1" applyBorder="1" applyAlignment="1">
      <alignment horizontal="center" vertical="center"/>
    </xf>
    <xf numFmtId="49" fontId="46" fillId="0" borderId="1" xfId="0" applyNumberFormat="1" applyFont="1" applyBorder="1" applyAlignment="1">
      <alignment vertical="center"/>
    </xf>
    <xf numFmtId="0" fontId="47" fillId="0" borderId="1" xfId="6" applyFont="1" applyBorder="1" applyAlignment="1">
      <alignment horizontal="center" vertical="center"/>
    </xf>
    <xf numFmtId="16" fontId="47" fillId="0" borderId="1" xfId="6" applyNumberFormat="1" applyFont="1" applyBorder="1" applyAlignment="1">
      <alignment vertical="center" wrapText="1"/>
    </xf>
    <xf numFmtId="3" fontId="47" fillId="0" borderId="1" xfId="6" applyNumberFormat="1" applyFont="1" applyBorder="1" applyAlignment="1" applyProtection="1">
      <alignment horizontal="right" vertical="center"/>
      <protection locked="0"/>
    </xf>
    <xf numFmtId="3" fontId="48" fillId="0" borderId="1" xfId="6" applyNumberFormat="1" applyFont="1" applyBorder="1" applyAlignment="1" applyProtection="1">
      <alignment horizontal="center" vertical="center"/>
      <protection locked="0"/>
    </xf>
    <xf numFmtId="49" fontId="46" fillId="0" borderId="1" xfId="6" applyNumberFormat="1" applyFont="1" applyBorder="1" applyAlignment="1" applyProtection="1">
      <alignment horizontal="left" vertical="center"/>
      <protection locked="0"/>
    </xf>
    <xf numFmtId="0" fontId="47" fillId="0" borderId="1" xfId="6" applyFont="1" applyBorder="1" applyAlignment="1">
      <alignment horizontal="center" vertical="center" wrapText="1"/>
    </xf>
    <xf numFmtId="49" fontId="47" fillId="0" borderId="1" xfId="6" applyNumberFormat="1" applyFont="1" applyBorder="1" applyAlignment="1" applyProtection="1">
      <alignment horizontal="left" vertical="center"/>
      <protection locked="0"/>
    </xf>
    <xf numFmtId="0" fontId="46" fillId="0" borderId="1" xfId="6" applyFont="1" applyBorder="1" applyAlignment="1">
      <alignment horizontal="center" vertical="center"/>
    </xf>
    <xf numFmtId="49" fontId="46" fillId="0" borderId="1" xfId="6" applyNumberFormat="1" applyFont="1" applyBorder="1" applyAlignment="1">
      <alignment horizontal="left" vertical="center" wrapText="1"/>
    </xf>
    <xf numFmtId="3" fontId="46" fillId="0" borderId="1" xfId="6" applyNumberFormat="1" applyFont="1" applyBorder="1" applyAlignment="1" applyProtection="1">
      <alignment horizontal="right" vertical="center"/>
      <protection locked="0"/>
    </xf>
    <xf numFmtId="3" fontId="46" fillId="0" borderId="1" xfId="6" applyNumberFormat="1" applyFont="1" applyBorder="1" applyAlignment="1" applyProtection="1">
      <alignment horizontal="right" vertical="center" wrapText="1"/>
      <protection locked="0"/>
    </xf>
    <xf numFmtId="3" fontId="51" fillId="0" borderId="1" xfId="6" applyNumberFormat="1" applyFont="1" applyBorder="1" applyAlignment="1" applyProtection="1">
      <alignment horizontal="center" vertical="center"/>
      <protection locked="0"/>
    </xf>
    <xf numFmtId="9" fontId="51" fillId="0" borderId="1" xfId="12" applyFont="1" applyFill="1" applyBorder="1" applyAlignment="1" applyProtection="1">
      <alignment horizontal="center" vertical="center"/>
      <protection locked="0"/>
    </xf>
    <xf numFmtId="0" fontId="46" fillId="28" borderId="1" xfId="6" applyFont="1" applyFill="1" applyBorder="1" applyAlignment="1">
      <alignment horizontal="center" vertical="center"/>
    </xf>
    <xf numFmtId="3" fontId="46" fillId="28" borderId="1" xfId="6" applyNumberFormat="1" applyFont="1" applyFill="1" applyBorder="1" applyAlignment="1">
      <alignment horizontal="right" vertical="center" wrapText="1"/>
    </xf>
    <xf numFmtId="3" fontId="46" fillId="28" borderId="1" xfId="6" applyNumberFormat="1" applyFont="1" applyFill="1" applyBorder="1" applyAlignment="1">
      <alignment horizontal="right" vertical="center"/>
    </xf>
    <xf numFmtId="3" fontId="51" fillId="28" borderId="1" xfId="6" applyNumberFormat="1" applyFont="1" applyFill="1" applyBorder="1" applyAlignment="1">
      <alignment horizontal="center" vertical="center"/>
    </xf>
    <xf numFmtId="3" fontId="51" fillId="28" borderId="1" xfId="6" applyNumberFormat="1" applyFont="1" applyFill="1" applyBorder="1" applyAlignment="1">
      <alignment horizontal="center" vertical="center" wrapText="1"/>
    </xf>
    <xf numFmtId="9" fontId="51" fillId="28" borderId="1" xfId="12" applyFont="1" applyFill="1" applyBorder="1" applyAlignment="1" applyProtection="1">
      <alignment horizontal="center" vertical="center" wrapText="1"/>
    </xf>
    <xf numFmtId="0" fontId="46" fillId="28" borderId="1" xfId="6" applyFont="1" applyFill="1" applyBorder="1" applyAlignment="1">
      <alignment vertical="center" wrapText="1"/>
    </xf>
    <xf numFmtId="0" fontId="46" fillId="28" borderId="1" xfId="0" applyFont="1" applyFill="1" applyBorder="1" applyAlignment="1">
      <alignment horizontal="center" vertical="center"/>
    </xf>
    <xf numFmtId="0" fontId="46" fillId="28" borderId="1" xfId="0" applyFont="1" applyFill="1" applyBorder="1" applyAlignment="1">
      <alignment vertical="center" wrapText="1"/>
    </xf>
    <xf numFmtId="3" fontId="46" fillId="28" borderId="1" xfId="0" applyNumberFormat="1" applyFont="1" applyFill="1" applyBorder="1" applyAlignment="1">
      <alignment horizontal="right" vertical="center"/>
    </xf>
    <xf numFmtId="3" fontId="51" fillId="28" borderId="1" xfId="0" applyNumberFormat="1" applyFont="1" applyFill="1" applyBorder="1" applyAlignment="1">
      <alignment horizontal="center" vertical="center"/>
    </xf>
    <xf numFmtId="3" fontId="46" fillId="28" borderId="1" xfId="6" applyNumberFormat="1" applyFont="1" applyFill="1" applyBorder="1" applyAlignment="1">
      <alignment vertical="center" wrapText="1"/>
    </xf>
    <xf numFmtId="0" fontId="46" fillId="28" borderId="4" xfId="6" applyFont="1" applyFill="1" applyBorder="1" applyAlignment="1">
      <alignment horizontal="center" vertical="center"/>
    </xf>
    <xf numFmtId="0" fontId="46" fillId="28" borderId="4" xfId="6" applyFont="1" applyFill="1" applyBorder="1" applyAlignment="1">
      <alignment vertical="center" wrapText="1"/>
    </xf>
    <xf numFmtId="3" fontId="46" fillId="28" borderId="4" xfId="6" applyNumberFormat="1" applyFont="1" applyFill="1" applyBorder="1" applyAlignment="1">
      <alignment horizontal="right" vertical="center" wrapText="1"/>
    </xf>
    <xf numFmtId="0" fontId="46" fillId="28" borderId="6" xfId="6" applyFont="1" applyFill="1" applyBorder="1" applyAlignment="1">
      <alignment horizontal="center" vertical="center"/>
    </xf>
    <xf numFmtId="16" fontId="46" fillId="28" borderId="6" xfId="6" applyNumberFormat="1" applyFont="1" applyFill="1" applyBorder="1" applyAlignment="1">
      <alignment vertical="center" wrapText="1"/>
    </xf>
    <xf numFmtId="3" fontId="46" fillId="28" borderId="6" xfId="6" applyNumberFormat="1" applyFont="1" applyFill="1" applyBorder="1" applyAlignment="1">
      <alignment horizontal="right" vertical="center" wrapText="1"/>
    </xf>
    <xf numFmtId="3" fontId="51" fillId="28" borderId="6" xfId="6" applyNumberFormat="1" applyFont="1" applyFill="1" applyBorder="1" applyAlignment="1">
      <alignment horizontal="center" vertical="center" wrapText="1"/>
    </xf>
    <xf numFmtId="0" fontId="46" fillId="28" borderId="1" xfId="6" applyFont="1" applyFill="1" applyBorder="1" applyAlignment="1">
      <alignment horizontal="center" vertical="center" wrapText="1"/>
    </xf>
    <xf numFmtId="49" fontId="46" fillId="28" borderId="1" xfId="6" applyNumberFormat="1" applyFont="1" applyFill="1" applyBorder="1" applyAlignment="1">
      <alignment horizontal="left" vertical="center" wrapText="1"/>
    </xf>
    <xf numFmtId="49" fontId="46" fillId="0" borderId="1" xfId="6" applyNumberFormat="1" applyFont="1" applyBorder="1" applyAlignment="1">
      <alignment horizontal="center" vertical="center" wrapText="1"/>
    </xf>
    <xf numFmtId="3" fontId="47" fillId="2" borderId="1" xfId="0" applyNumberFormat="1" applyFont="1" applyFill="1" applyBorder="1" applyAlignment="1" applyProtection="1">
      <alignment horizontal="right" vertical="center" wrapText="1"/>
      <protection locked="0"/>
    </xf>
    <xf numFmtId="3" fontId="48" fillId="2" borderId="1" xfId="0" applyNumberFormat="1" applyFont="1" applyFill="1" applyBorder="1" applyAlignment="1">
      <alignment horizontal="center" vertical="center" wrapText="1"/>
    </xf>
    <xf numFmtId="166" fontId="48" fillId="2" borderId="1" xfId="12" applyNumberFormat="1" applyFont="1" applyFill="1" applyBorder="1" applyAlignment="1" applyProtection="1">
      <alignment horizontal="center" vertical="center" wrapText="1"/>
    </xf>
    <xf numFmtId="3" fontId="47" fillId="0" borderId="1" xfId="0" applyNumberFormat="1" applyFont="1" applyBorder="1" applyAlignment="1">
      <alignment horizontal="left" vertical="center" wrapText="1"/>
    </xf>
    <xf numFmtId="3" fontId="47" fillId="0" borderId="1" xfId="0" applyNumberFormat="1" applyFont="1" applyBorder="1" applyAlignment="1" applyProtection="1">
      <alignment horizontal="right" vertical="center" wrapText="1"/>
      <protection locked="0"/>
    </xf>
    <xf numFmtId="49" fontId="46" fillId="2" borderId="1" xfId="0" applyNumberFormat="1" applyFont="1" applyFill="1" applyBorder="1" applyAlignment="1">
      <alignment horizontal="center" vertical="center"/>
    </xf>
    <xf numFmtId="3" fontId="46" fillId="2" borderId="1" xfId="0" applyNumberFormat="1" applyFont="1" applyFill="1" applyBorder="1" applyAlignment="1">
      <alignment horizontal="left" vertical="center" wrapText="1"/>
    </xf>
    <xf numFmtId="3" fontId="46" fillId="2" borderId="1" xfId="0" applyNumberFormat="1" applyFont="1" applyFill="1" applyBorder="1" applyAlignment="1" applyProtection="1">
      <alignment horizontal="right" vertical="center" wrapText="1"/>
      <protection locked="0"/>
    </xf>
    <xf numFmtId="3" fontId="51" fillId="2" borderId="1" xfId="0" applyNumberFormat="1" applyFont="1" applyFill="1" applyBorder="1" applyAlignment="1">
      <alignment horizontal="center" vertical="center" wrapText="1"/>
    </xf>
    <xf numFmtId="166" fontId="51" fillId="2" borderId="1" xfId="12" applyNumberFormat="1" applyFont="1" applyFill="1" applyBorder="1" applyAlignment="1" applyProtection="1">
      <alignment horizontal="center" vertical="center" wrapText="1"/>
    </xf>
    <xf numFmtId="3" fontId="51" fillId="0" borderId="1" xfId="0" applyNumberFormat="1" applyFont="1" applyBorder="1" applyAlignment="1" applyProtection="1">
      <alignment horizontal="left" vertical="center" wrapText="1"/>
      <protection locked="0"/>
    </xf>
    <xf numFmtId="3" fontId="46" fillId="2" borderId="1" xfId="1" applyNumberFormat="1" applyFont="1" applyFill="1" applyBorder="1" applyAlignment="1">
      <alignment horizontal="left" vertical="center" wrapText="1"/>
    </xf>
    <xf numFmtId="49" fontId="46" fillId="0" borderId="1" xfId="0" applyNumberFormat="1" applyFont="1" applyBorder="1" applyAlignment="1">
      <alignment horizontal="center" vertical="center"/>
    </xf>
    <xf numFmtId="3" fontId="46" fillId="0" borderId="1" xfId="1" applyNumberFormat="1" applyFont="1" applyBorder="1" applyAlignment="1">
      <alignment horizontal="left" vertical="center" wrapText="1"/>
    </xf>
    <xf numFmtId="3" fontId="46" fillId="0" borderId="1" xfId="0" applyNumberFormat="1" applyFont="1" applyBorder="1" applyAlignment="1" applyProtection="1">
      <alignment horizontal="right" vertical="center" wrapText="1"/>
      <protection locked="0"/>
    </xf>
    <xf numFmtId="3" fontId="51" fillId="0" borderId="1" xfId="0" applyNumberFormat="1" applyFont="1" applyBorder="1" applyAlignment="1">
      <alignment horizontal="center" vertical="center" wrapText="1"/>
    </xf>
    <xf numFmtId="166" fontId="51" fillId="0" borderId="1" xfId="12" applyNumberFormat="1" applyFont="1" applyFill="1" applyBorder="1" applyAlignment="1" applyProtection="1">
      <alignment horizontal="center" vertical="center" wrapText="1"/>
    </xf>
    <xf numFmtId="0" fontId="46" fillId="2" borderId="1" xfId="0" applyFont="1" applyFill="1" applyBorder="1" applyAlignment="1">
      <alignment horizontal="center" vertical="center"/>
    </xf>
    <xf numFmtId="0" fontId="46" fillId="2" borderId="1" xfId="0" applyFont="1" applyFill="1" applyBorder="1" applyAlignment="1">
      <alignment vertical="center" wrapText="1"/>
    </xf>
    <xf numFmtId="0" fontId="47" fillId="2" borderId="1" xfId="0" applyFont="1" applyFill="1" applyBorder="1" applyAlignment="1">
      <alignment vertical="center" wrapText="1"/>
    </xf>
    <xf numFmtId="0" fontId="47" fillId="2" borderId="1" xfId="0" applyFont="1" applyFill="1" applyBorder="1" applyAlignment="1">
      <alignment horizontal="left" vertical="center" wrapText="1"/>
    </xf>
    <xf numFmtId="3" fontId="48" fillId="0" borderId="1" xfId="0" applyNumberFormat="1" applyFont="1" applyBorder="1" applyAlignment="1">
      <alignment horizontal="center" vertical="center" wrapText="1"/>
    </xf>
    <xf numFmtId="166" fontId="48" fillId="0" borderId="1" xfId="12" applyNumberFormat="1" applyFont="1" applyFill="1" applyBorder="1" applyAlignment="1" applyProtection="1">
      <alignment horizontal="center" vertical="center" wrapText="1"/>
    </xf>
    <xf numFmtId="0" fontId="46" fillId="2" borderId="1" xfId="0" applyFont="1" applyFill="1" applyBorder="1" applyAlignment="1">
      <alignment horizontal="left" vertical="center" wrapText="1"/>
    </xf>
    <xf numFmtId="0" fontId="46" fillId="2" borderId="1" xfId="0" applyFont="1" applyFill="1" applyBorder="1" applyAlignment="1" applyProtection="1">
      <alignment horizontal="right" vertical="center" wrapText="1"/>
      <protection locked="0"/>
    </xf>
    <xf numFmtId="3" fontId="48" fillId="0" borderId="1" xfId="0" applyNumberFormat="1" applyFont="1" applyBorder="1" applyAlignment="1" applyProtection="1">
      <alignment horizontal="left" vertical="center" wrapText="1"/>
      <protection locked="0"/>
    </xf>
    <xf numFmtId="0" fontId="46" fillId="2" borderId="1" xfId="0" applyFont="1" applyFill="1" applyBorder="1" applyAlignment="1">
      <alignment horizontal="left" vertical="center"/>
    </xf>
    <xf numFmtId="0" fontId="47" fillId="0" borderId="1" xfId="0" applyFont="1" applyBorder="1" applyAlignment="1">
      <alignment horizontal="left" vertical="center" wrapText="1"/>
    </xf>
    <xf numFmtId="0" fontId="51" fillId="0" borderId="1" xfId="0" applyFont="1" applyBorder="1" applyAlignment="1">
      <alignment horizontal="center" vertical="center" wrapText="1"/>
    </xf>
    <xf numFmtId="3" fontId="51" fillId="0" borderId="1" xfId="0" applyNumberFormat="1" applyFont="1" applyBorder="1" applyAlignment="1">
      <alignment vertical="center" wrapText="1"/>
    </xf>
    <xf numFmtId="49" fontId="47" fillId="2" borderId="1" xfId="1" applyNumberFormat="1" applyFont="1" applyFill="1" applyBorder="1" applyAlignment="1">
      <alignment horizontal="center" vertical="center"/>
    </xf>
    <xf numFmtId="3" fontId="47" fillId="0" borderId="1" xfId="0" applyNumberFormat="1" applyFont="1" applyBorder="1" applyAlignment="1">
      <alignment vertical="center"/>
    </xf>
    <xf numFmtId="3" fontId="47" fillId="0" borderId="1" xfId="0" applyNumberFormat="1" applyFont="1" applyBorder="1" applyAlignment="1">
      <alignment vertical="center" wrapText="1"/>
    </xf>
    <xf numFmtId="3" fontId="46" fillId="28" borderId="1" xfId="0" applyNumberFormat="1" applyFont="1" applyFill="1" applyBorder="1" applyAlignment="1">
      <alignment horizontal="right" vertical="center" wrapText="1"/>
    </xf>
    <xf numFmtId="3" fontId="51" fillId="28" borderId="1" xfId="0" applyNumberFormat="1" applyFont="1" applyFill="1" applyBorder="1" applyAlignment="1">
      <alignment horizontal="center" vertical="center" wrapText="1"/>
    </xf>
    <xf numFmtId="166" fontId="51" fillId="28" borderId="1" xfId="12" applyNumberFormat="1" applyFont="1" applyFill="1" applyBorder="1" applyAlignment="1" applyProtection="1">
      <alignment horizontal="center" vertical="center" wrapText="1"/>
    </xf>
    <xf numFmtId="49" fontId="46" fillId="28" borderId="1" xfId="0" applyNumberFormat="1" applyFont="1" applyFill="1" applyBorder="1" applyAlignment="1">
      <alignment horizontal="center" vertical="center"/>
    </xf>
    <xf numFmtId="3" fontId="46" fillId="28" borderId="1" xfId="0" applyNumberFormat="1" applyFont="1" applyFill="1" applyBorder="1" applyAlignment="1">
      <alignment horizontal="left" vertical="center" wrapText="1"/>
    </xf>
    <xf numFmtId="0" fontId="46" fillId="28" borderId="1" xfId="0" applyFont="1" applyFill="1" applyBorder="1" applyAlignment="1">
      <alignment horizontal="right" vertical="center" wrapText="1"/>
    </xf>
    <xf numFmtId="0" fontId="46" fillId="28" borderId="1" xfId="0" applyFont="1" applyFill="1" applyBorder="1" applyAlignment="1">
      <alignment horizontal="left" vertical="center" wrapText="1"/>
    </xf>
    <xf numFmtId="0" fontId="47" fillId="28" borderId="1" xfId="0" applyFont="1" applyFill="1" applyBorder="1" applyAlignment="1">
      <alignment horizontal="center" vertical="center"/>
    </xf>
    <xf numFmtId="3" fontId="51" fillId="0" borderId="4" xfId="0" applyNumberFormat="1" applyFont="1" applyBorder="1" applyAlignment="1">
      <alignment horizontal="center" vertical="center" wrapText="1"/>
    </xf>
    <xf numFmtId="3" fontId="47" fillId="0" borderId="0" xfId="0" applyNumberFormat="1" applyFont="1" applyAlignment="1">
      <alignment horizontal="left" vertical="center" wrapText="1"/>
    </xf>
    <xf numFmtId="3" fontId="53" fillId="28" borderId="1" xfId="0" applyNumberFormat="1" applyFont="1" applyFill="1" applyBorder="1" applyAlignment="1">
      <alignment horizontal="right" vertical="center" wrapText="1"/>
    </xf>
    <xf numFmtId="3" fontId="51" fillId="28" borderId="25" xfId="0" applyNumberFormat="1" applyFont="1" applyFill="1" applyBorder="1" applyAlignment="1">
      <alignment horizontal="left" vertical="center" wrapText="1"/>
    </xf>
    <xf numFmtId="0" fontId="46" fillId="28" borderId="1" xfId="0" applyFont="1" applyFill="1" applyBorder="1" applyAlignment="1">
      <alignment horizontal="center" vertical="center" wrapText="1"/>
    </xf>
    <xf numFmtId="0" fontId="46" fillId="28" borderId="1" xfId="1" applyFont="1" applyFill="1" applyBorder="1" applyAlignment="1">
      <alignment horizontal="center" vertical="center"/>
    </xf>
    <xf numFmtId="49" fontId="46" fillId="28" borderId="1" xfId="1" applyNumberFormat="1" applyFont="1" applyFill="1" applyBorder="1" applyAlignment="1">
      <alignment horizontal="center" vertical="center"/>
    </xf>
    <xf numFmtId="3" fontId="47" fillId="0" borderId="0" xfId="0" applyNumberFormat="1" applyFont="1" applyAlignment="1">
      <alignment vertical="center"/>
    </xf>
    <xf numFmtId="3" fontId="47" fillId="0" borderId="0" xfId="0" applyNumberFormat="1" applyFont="1" applyAlignment="1">
      <alignment horizontal="center" vertical="center"/>
    </xf>
    <xf numFmtId="0" fontId="48" fillId="0" borderId="0" xfId="0" applyFont="1" applyAlignment="1">
      <alignment vertical="center"/>
    </xf>
    <xf numFmtId="0" fontId="51" fillId="0" borderId="0" xfId="0" applyFont="1" applyAlignment="1">
      <alignment vertical="center"/>
    </xf>
    <xf numFmtId="3" fontId="46" fillId="0" borderId="0" xfId="6" applyNumberFormat="1" applyFont="1" applyAlignment="1" applyProtection="1">
      <alignment horizontal="right" vertical="center"/>
      <protection locked="0"/>
    </xf>
    <xf numFmtId="3" fontId="51" fillId="0" borderId="0" xfId="6" applyNumberFormat="1" applyFont="1" applyAlignment="1" applyProtection="1">
      <alignment horizontal="center" vertical="center"/>
      <protection locked="0"/>
    </xf>
    <xf numFmtId="9" fontId="51" fillId="0" borderId="0" xfId="12" applyFont="1" applyFill="1" applyBorder="1" applyAlignment="1" applyProtection="1">
      <alignment horizontal="center" vertical="center"/>
      <protection locked="0"/>
    </xf>
    <xf numFmtId="49" fontId="46" fillId="0" borderId="0" xfId="6" applyNumberFormat="1" applyFont="1" applyAlignment="1">
      <alignment horizontal="center" vertical="center"/>
    </xf>
    <xf numFmtId="0" fontId="47" fillId="0" borderId="0" xfId="0" applyFont="1" applyAlignment="1">
      <alignment horizontal="center" vertical="center"/>
    </xf>
    <xf numFmtId="0" fontId="47" fillId="0" borderId="0" xfId="0" applyFont="1" applyAlignment="1">
      <alignment horizontal="right" vertical="center"/>
    </xf>
    <xf numFmtId="3" fontId="47" fillId="0" borderId="1" xfId="1" applyNumberFormat="1" applyFont="1" applyBorder="1" applyAlignment="1">
      <alignment horizontal="center" vertical="center" wrapText="1"/>
    </xf>
    <xf numFmtId="0" fontId="47" fillId="0" borderId="1" xfId="6" applyFont="1" applyBorder="1" applyAlignment="1">
      <alignment horizontal="left" vertical="center" wrapText="1"/>
    </xf>
    <xf numFmtId="3" fontId="47" fillId="0" borderId="1" xfId="6" applyNumberFormat="1" applyFont="1" applyBorder="1" applyAlignment="1">
      <alignment horizontal="right" vertical="center" wrapText="1"/>
    </xf>
    <xf numFmtId="3" fontId="48" fillId="0" borderId="1" xfId="6" applyNumberFormat="1" applyFont="1" applyBorder="1" applyAlignment="1">
      <alignment horizontal="center" vertical="center" wrapText="1"/>
    </xf>
    <xf numFmtId="9" fontId="48" fillId="0" borderId="1" xfId="12" applyFont="1" applyFill="1" applyBorder="1" applyAlignment="1" applyProtection="1">
      <alignment horizontal="center" vertical="center" wrapText="1"/>
    </xf>
    <xf numFmtId="0" fontId="47" fillId="4" borderId="1" xfId="0" applyFont="1" applyFill="1" applyBorder="1" applyAlignment="1">
      <alignment horizontal="center" vertical="center" wrapText="1"/>
    </xf>
    <xf numFmtId="0" fontId="47" fillId="4" borderId="1" xfId="0" applyFont="1" applyFill="1" applyBorder="1" applyAlignment="1">
      <alignment horizontal="left" vertical="center" wrapText="1"/>
    </xf>
    <xf numFmtId="0" fontId="47" fillId="4" borderId="9" xfId="0" applyFont="1" applyFill="1" applyBorder="1" applyAlignment="1">
      <alignment horizontal="center" vertical="center" wrapText="1"/>
    </xf>
    <xf numFmtId="0" fontId="47" fillId="4" borderId="9" xfId="0" applyFont="1" applyFill="1" applyBorder="1" applyAlignment="1">
      <alignment horizontal="left" vertical="center" wrapText="1"/>
    </xf>
    <xf numFmtId="3" fontId="47" fillId="0" borderId="1" xfId="6" applyNumberFormat="1" applyFont="1" applyBorder="1" applyAlignment="1" applyProtection="1">
      <alignment horizontal="right" vertical="center" wrapText="1"/>
      <protection locked="0"/>
    </xf>
    <xf numFmtId="0" fontId="47" fillId="4" borderId="10" xfId="0" applyFont="1" applyFill="1" applyBorder="1" applyAlignment="1">
      <alignment horizontal="center" vertical="center" wrapText="1"/>
    </xf>
    <xf numFmtId="0" fontId="47" fillId="4" borderId="10" xfId="0" applyFont="1" applyFill="1" applyBorder="1" applyAlignment="1">
      <alignment horizontal="left" vertical="center" wrapText="1"/>
    </xf>
    <xf numFmtId="0" fontId="47" fillId="0" borderId="9" xfId="0" applyFont="1" applyBorder="1" applyAlignment="1">
      <alignment horizontal="center" vertical="center" wrapText="1"/>
    </xf>
    <xf numFmtId="0" fontId="47" fillId="0" borderId="9" xfId="0" applyFont="1" applyBorder="1" applyAlignment="1">
      <alignment horizontal="left" vertical="center" wrapText="1"/>
    </xf>
    <xf numFmtId="3" fontId="47" fillId="0" borderId="0" xfId="6" applyNumberFormat="1" applyFont="1" applyAlignment="1">
      <alignment horizontal="left" vertical="center" wrapText="1"/>
    </xf>
    <xf numFmtId="3" fontId="47" fillId="0" borderId="0" xfId="6" applyNumberFormat="1" applyFont="1" applyAlignment="1">
      <alignment horizontal="right" vertical="center" wrapText="1"/>
    </xf>
    <xf numFmtId="3" fontId="47" fillId="0" borderId="0" xfId="0" applyNumberFormat="1" applyFont="1" applyAlignment="1">
      <alignment horizontal="right" vertical="center"/>
    </xf>
    <xf numFmtId="3" fontId="47" fillId="0" borderId="0" xfId="6" applyNumberFormat="1" applyFont="1" applyAlignment="1">
      <alignment horizontal="right" vertical="center"/>
    </xf>
    <xf numFmtId="3" fontId="48" fillId="0" borderId="0" xfId="0" applyNumberFormat="1" applyFont="1" applyAlignment="1">
      <alignment horizontal="center" vertical="center"/>
    </xf>
    <xf numFmtId="49" fontId="46" fillId="28" borderId="5" xfId="6" applyNumberFormat="1" applyFont="1" applyFill="1" applyBorder="1" applyAlignment="1">
      <alignment horizontal="center" vertical="center"/>
    </xf>
    <xf numFmtId="3" fontId="46" fillId="28" borderId="1" xfId="6" applyNumberFormat="1" applyFont="1" applyFill="1" applyBorder="1" applyAlignment="1">
      <alignment horizontal="center" vertical="center"/>
    </xf>
    <xf numFmtId="49" fontId="47" fillId="0" borderId="5" xfId="6" applyNumberFormat="1" applyFont="1" applyBorder="1" applyAlignment="1">
      <alignment horizontal="center" vertical="center"/>
    </xf>
    <xf numFmtId="0" fontId="47" fillId="0" borderId="4" xfId="6" applyFont="1" applyBorder="1" applyAlignment="1">
      <alignment vertical="center" wrapText="1"/>
    </xf>
    <xf numFmtId="3" fontId="47" fillId="0" borderId="4" xfId="6" applyNumberFormat="1" applyFont="1" applyBorder="1" applyAlignment="1">
      <alignment horizontal="right" vertical="center" wrapText="1"/>
    </xf>
    <xf numFmtId="49" fontId="48" fillId="2" borderId="1" xfId="12" applyNumberFormat="1" applyFont="1" applyFill="1" applyBorder="1" applyAlignment="1" applyProtection="1">
      <alignment horizontal="left" vertical="center"/>
    </xf>
    <xf numFmtId="0" fontId="47" fillId="0" borderId="1" xfId="0" applyFont="1" applyBorder="1" applyAlignment="1">
      <alignment horizontal="left" vertical="center" wrapText="1" indent="2" readingOrder="1"/>
    </xf>
    <xf numFmtId="3" fontId="47" fillId="0" borderId="1" xfId="0" applyNumberFormat="1" applyFont="1" applyBorder="1" applyAlignment="1">
      <alignment horizontal="right" vertical="center" wrapText="1"/>
    </xf>
    <xf numFmtId="49" fontId="47" fillId="0" borderId="5" xfId="6" applyNumberFormat="1" applyFont="1" applyBorder="1" applyAlignment="1">
      <alignment horizontal="right" vertical="center"/>
    </xf>
    <xf numFmtId="0" fontId="48" fillId="0" borderId="1" xfId="0" applyFont="1" applyBorder="1" applyAlignment="1">
      <alignment horizontal="left" vertical="center" wrapText="1" indent="4" readingOrder="1"/>
    </xf>
    <xf numFmtId="0" fontId="47" fillId="0" borderId="6" xfId="0" applyFont="1" applyBorder="1" applyAlignment="1">
      <alignment horizontal="left" vertical="center" wrapText="1" readingOrder="1"/>
    </xf>
    <xf numFmtId="3" fontId="47" fillId="0" borderId="2" xfId="0" applyNumberFormat="1" applyFont="1" applyBorder="1" applyAlignment="1">
      <alignment horizontal="right" vertical="center" wrapText="1"/>
    </xf>
    <xf numFmtId="3" fontId="48" fillId="0" borderId="2" xfId="0" applyNumberFormat="1" applyFont="1" applyBorder="1" applyAlignment="1">
      <alignment horizontal="center" vertical="center" wrapText="1"/>
    </xf>
    <xf numFmtId="3" fontId="47" fillId="0" borderId="2" xfId="12" applyNumberFormat="1" applyFont="1" applyFill="1" applyBorder="1" applyAlignment="1" applyProtection="1">
      <alignment horizontal="right" vertical="center" wrapText="1"/>
    </xf>
    <xf numFmtId="3" fontId="48" fillId="0" borderId="2" xfId="12" applyNumberFormat="1" applyFont="1" applyFill="1" applyBorder="1" applyAlignment="1" applyProtection="1">
      <alignment horizontal="center" vertical="center" wrapText="1"/>
    </xf>
    <xf numFmtId="3" fontId="47" fillId="0" borderId="2" xfId="0" applyNumberFormat="1" applyFont="1" applyBorder="1" applyAlignment="1" applyProtection="1">
      <alignment horizontal="right" vertical="center" wrapText="1"/>
      <protection locked="0"/>
    </xf>
    <xf numFmtId="3" fontId="48" fillId="0" borderId="2" xfId="0" applyNumberFormat="1" applyFont="1" applyBorder="1" applyAlignment="1" applyProtection="1">
      <alignment horizontal="center" vertical="center" wrapText="1"/>
      <protection locked="0"/>
    </xf>
    <xf numFmtId="3" fontId="46" fillId="28" borderId="3" xfId="6" applyNumberFormat="1" applyFont="1" applyFill="1" applyBorder="1" applyAlignment="1">
      <alignment horizontal="center" vertical="center"/>
    </xf>
    <xf numFmtId="3" fontId="51" fillId="28" borderId="3" xfId="6" applyNumberFormat="1" applyFont="1" applyFill="1" applyBorder="1" applyAlignment="1">
      <alignment horizontal="center" vertical="center"/>
    </xf>
    <xf numFmtId="49" fontId="47" fillId="2" borderId="1" xfId="6" applyNumberFormat="1" applyFont="1" applyFill="1" applyBorder="1" applyAlignment="1">
      <alignment horizontal="center" vertical="center"/>
    </xf>
    <xf numFmtId="3" fontId="47" fillId="2" borderId="6" xfId="6" applyNumberFormat="1" applyFont="1" applyFill="1" applyBorder="1" applyAlignment="1">
      <alignment vertical="center" wrapText="1"/>
    </xf>
    <xf numFmtId="3" fontId="47" fillId="2" borderId="6" xfId="6" applyNumberFormat="1" applyFont="1" applyFill="1" applyBorder="1" applyAlignment="1" applyProtection="1">
      <alignment horizontal="right" vertical="center" wrapText="1"/>
      <protection locked="0"/>
    </xf>
    <xf numFmtId="3" fontId="47" fillId="2" borderId="1" xfId="0" applyNumberFormat="1" applyFont="1" applyFill="1" applyBorder="1" applyAlignment="1" applyProtection="1">
      <alignment horizontal="right" vertical="center"/>
      <protection locked="0"/>
    </xf>
    <xf numFmtId="3" fontId="48" fillId="2" borderId="1" xfId="0" applyNumberFormat="1" applyFont="1" applyFill="1" applyBorder="1" applyAlignment="1" applyProtection="1">
      <alignment horizontal="center" vertical="center"/>
      <protection locked="0"/>
    </xf>
    <xf numFmtId="3" fontId="47" fillId="2" borderId="1" xfId="6" applyNumberFormat="1" applyFont="1" applyFill="1" applyBorder="1" applyAlignment="1" applyProtection="1">
      <alignment horizontal="right" vertical="center" wrapText="1"/>
      <protection locked="0"/>
    </xf>
    <xf numFmtId="49" fontId="47" fillId="0" borderId="1" xfId="6" applyNumberFormat="1" applyFont="1" applyBorder="1" applyAlignment="1">
      <alignment horizontal="center" vertical="center"/>
    </xf>
    <xf numFmtId="49" fontId="48" fillId="0" borderId="1" xfId="12" applyNumberFormat="1" applyFont="1" applyFill="1" applyBorder="1" applyAlignment="1" applyProtection="1">
      <alignment horizontal="left" vertical="center"/>
    </xf>
    <xf numFmtId="3" fontId="47" fillId="2" borderId="6" xfId="6" applyNumberFormat="1" applyFont="1" applyFill="1" applyBorder="1" applyAlignment="1">
      <alignment horizontal="left" vertical="center" wrapText="1"/>
    </xf>
    <xf numFmtId="49" fontId="47" fillId="2" borderId="1" xfId="6" applyNumberFormat="1" applyFont="1" applyFill="1" applyBorder="1" applyAlignment="1">
      <alignment horizontal="right" vertical="center"/>
    </xf>
    <xf numFmtId="3" fontId="48" fillId="2" borderId="6" xfId="6" applyNumberFormat="1" applyFont="1" applyFill="1" applyBorder="1" applyAlignment="1">
      <alignment horizontal="left" vertical="center" wrapText="1" indent="2"/>
    </xf>
    <xf numFmtId="3" fontId="47" fillId="0" borderId="6" xfId="0" applyNumberFormat="1" applyFont="1" applyBorder="1" applyAlignment="1" applyProtection="1">
      <alignment horizontal="right" vertical="center" wrapText="1"/>
      <protection locked="0"/>
    </xf>
    <xf numFmtId="49" fontId="46" fillId="28" borderId="1" xfId="6" applyNumberFormat="1" applyFont="1" applyFill="1" applyBorder="1" applyAlignment="1">
      <alignment horizontal="center" vertical="center"/>
    </xf>
    <xf numFmtId="3" fontId="48" fillId="2" borderId="1" xfId="6" applyNumberFormat="1" applyFont="1" applyFill="1" applyBorder="1" applyAlignment="1">
      <alignment horizontal="left" vertical="center" wrapText="1" indent="2"/>
    </xf>
    <xf numFmtId="49" fontId="47" fillId="2" borderId="5" xfId="6" applyNumberFormat="1" applyFont="1" applyFill="1" applyBorder="1" applyAlignment="1">
      <alignment horizontal="center" vertical="center"/>
    </xf>
    <xf numFmtId="3" fontId="48" fillId="0" borderId="4" xfId="6" applyNumberFormat="1" applyFont="1" applyBorder="1" applyAlignment="1">
      <alignment horizontal="left" vertical="center" wrapText="1" indent="2"/>
    </xf>
    <xf numFmtId="3" fontId="47" fillId="0" borderId="8" xfId="6" applyNumberFormat="1" applyFont="1" applyBorder="1" applyAlignment="1" applyProtection="1">
      <alignment horizontal="right" vertical="center" wrapText="1"/>
      <protection locked="0"/>
    </xf>
    <xf numFmtId="3" fontId="47" fillId="2" borderId="3" xfId="0" applyNumberFormat="1" applyFont="1" applyFill="1" applyBorder="1" applyAlignment="1" applyProtection="1">
      <alignment horizontal="right" vertical="center"/>
      <protection locked="0"/>
    </xf>
    <xf numFmtId="9" fontId="48" fillId="2" borderId="3" xfId="12" applyFont="1" applyFill="1" applyBorder="1" applyAlignment="1" applyProtection="1">
      <alignment horizontal="center" vertical="center"/>
    </xf>
    <xf numFmtId="0" fontId="47" fillId="0" borderId="1" xfId="0" applyFont="1" applyBorder="1" applyAlignment="1">
      <alignment horizontal="left" vertical="center" wrapText="1" readingOrder="1"/>
    </xf>
    <xf numFmtId="49" fontId="51" fillId="28" borderId="1" xfId="12" applyNumberFormat="1" applyFont="1" applyFill="1" applyBorder="1" applyAlignment="1" applyProtection="1">
      <alignment horizontal="left" vertical="center" wrapText="1"/>
    </xf>
    <xf numFmtId="0" fontId="47" fillId="2" borderId="1" xfId="6" applyFont="1" applyFill="1" applyBorder="1" applyAlignment="1">
      <alignment vertical="center"/>
    </xf>
    <xf numFmtId="3" fontId="53" fillId="28" borderId="1" xfId="6" applyNumberFormat="1" applyFont="1" applyFill="1" applyBorder="1" applyAlignment="1">
      <alignment vertical="center" wrapText="1"/>
    </xf>
    <xf numFmtId="0" fontId="46" fillId="28" borderId="3" xfId="6" applyFont="1" applyFill="1" applyBorder="1" applyAlignment="1">
      <alignment horizontal="center" vertical="center" wrapText="1"/>
    </xf>
    <xf numFmtId="3" fontId="47" fillId="2" borderId="3" xfId="6" applyNumberFormat="1" applyFont="1" applyFill="1" applyBorder="1" applyAlignment="1" applyProtection="1">
      <alignment horizontal="right" vertical="center" wrapText="1"/>
      <protection locked="0"/>
    </xf>
    <xf numFmtId="3" fontId="47" fillId="2" borderId="3" xfId="6" applyNumberFormat="1" applyFont="1" applyFill="1" applyBorder="1" applyAlignment="1" applyProtection="1">
      <alignment horizontal="right" vertical="center"/>
      <protection locked="0"/>
    </xf>
    <xf numFmtId="3" fontId="48" fillId="0" borderId="1" xfId="6" applyNumberFormat="1" applyFont="1" applyBorder="1" applyAlignment="1">
      <alignment horizontal="left" vertical="center" wrapText="1" indent="2"/>
    </xf>
    <xf numFmtId="49" fontId="47" fillId="0" borderId="0" xfId="6" applyNumberFormat="1" applyFont="1" applyAlignment="1">
      <alignment horizontal="center" vertical="center"/>
    </xf>
    <xf numFmtId="0" fontId="47" fillId="0" borderId="0" xfId="0" applyFont="1" applyAlignment="1">
      <alignment vertical="center" wrapText="1"/>
    </xf>
    <xf numFmtId="0" fontId="47" fillId="0" borderId="0" xfId="6" applyFont="1"/>
    <xf numFmtId="0" fontId="56" fillId="0" borderId="0" xfId="0" applyFont="1" applyAlignment="1">
      <alignment horizontal="center" vertical="center" wrapText="1"/>
    </xf>
    <xf numFmtId="0" fontId="56" fillId="0" borderId="0" xfId="0" applyFont="1" applyAlignment="1">
      <alignment horizontal="left" vertical="center" wrapText="1"/>
    </xf>
    <xf numFmtId="0" fontId="47" fillId="0" borderId="0" xfId="6" applyFont="1" applyAlignment="1">
      <alignment horizontal="left" vertical="center" wrapText="1"/>
    </xf>
    <xf numFmtId="0" fontId="47" fillId="0" borderId="0" xfId="6" applyFont="1" applyAlignment="1">
      <alignment horizontal="left" vertical="center"/>
    </xf>
    <xf numFmtId="0" fontId="46" fillId="2" borderId="1" xfId="0" applyFont="1" applyFill="1" applyBorder="1" applyAlignment="1">
      <alignment horizontal="right" vertical="center" wrapText="1"/>
    </xf>
    <xf numFmtId="0" fontId="46" fillId="29" borderId="1" xfId="0" applyFont="1" applyFill="1" applyBorder="1" applyAlignment="1">
      <alignment horizontal="center" vertical="center"/>
    </xf>
    <xf numFmtId="3" fontId="46" fillId="29" borderId="1" xfId="0" applyNumberFormat="1" applyFont="1" applyFill="1" applyBorder="1" applyAlignment="1">
      <alignment horizontal="right" vertical="center" wrapText="1"/>
    </xf>
    <xf numFmtId="3" fontId="51" fillId="29" borderId="1" xfId="0" applyNumberFormat="1" applyFont="1" applyFill="1" applyBorder="1" applyAlignment="1">
      <alignment horizontal="center" vertical="center" wrapText="1"/>
    </xf>
    <xf numFmtId="166" fontId="51" fillId="29" borderId="1" xfId="12" applyNumberFormat="1" applyFont="1" applyFill="1" applyBorder="1" applyAlignment="1" applyProtection="1">
      <alignment horizontal="center" vertical="center" wrapText="1"/>
    </xf>
    <xf numFmtId="3" fontId="51" fillId="29" borderId="25" xfId="0" applyNumberFormat="1" applyFont="1" applyFill="1" applyBorder="1" applyAlignment="1">
      <alignment horizontal="left" vertical="center" wrapText="1"/>
    </xf>
    <xf numFmtId="0" fontId="47" fillId="2" borderId="1" xfId="0" applyFont="1" applyFill="1" applyBorder="1" applyAlignment="1">
      <alignment horizontal="right" vertical="center"/>
    </xf>
    <xf numFmtId="3" fontId="41" fillId="2" borderId="0" xfId="0" applyNumberFormat="1" applyFont="1" applyFill="1" applyAlignment="1">
      <alignment vertical="center"/>
    </xf>
    <xf numFmtId="49" fontId="47" fillId="2" borderId="1" xfId="0" applyNumberFormat="1" applyFont="1" applyFill="1" applyBorder="1" applyAlignment="1">
      <alignment horizontal="right" vertical="center"/>
    </xf>
    <xf numFmtId="3" fontId="40" fillId="2" borderId="0" xfId="0" applyNumberFormat="1" applyFont="1" applyFill="1" applyAlignment="1">
      <alignment vertical="center"/>
    </xf>
    <xf numFmtId="3" fontId="46" fillId="2" borderId="1" xfId="0" applyNumberFormat="1" applyFont="1" applyFill="1" applyBorder="1" applyAlignment="1">
      <alignment horizontal="right" vertical="center" wrapText="1"/>
    </xf>
    <xf numFmtId="3" fontId="46" fillId="29" borderId="1" xfId="0" applyNumberFormat="1" applyFont="1" applyFill="1" applyBorder="1" applyAlignment="1">
      <alignment horizontal="left" vertical="center" wrapText="1"/>
    </xf>
    <xf numFmtId="3" fontId="51" fillId="2" borderId="1" xfId="0" applyNumberFormat="1" applyFont="1" applyFill="1" applyBorder="1" applyAlignment="1" applyProtection="1">
      <alignment horizontal="left" vertical="center" wrapText="1"/>
      <protection locked="0"/>
    </xf>
    <xf numFmtId="3" fontId="43" fillId="2" borderId="0" xfId="0" applyNumberFormat="1" applyFont="1" applyFill="1" applyAlignment="1">
      <alignment vertical="center"/>
    </xf>
    <xf numFmtId="3" fontId="46" fillId="2" borderId="1" xfId="0" applyNumberFormat="1" applyFont="1" applyFill="1" applyBorder="1" applyAlignment="1">
      <alignment horizontal="center" vertical="center" wrapText="1"/>
    </xf>
    <xf numFmtId="166" fontId="46" fillId="2" borderId="1" xfId="12" applyNumberFormat="1" applyFont="1" applyFill="1" applyBorder="1" applyAlignment="1" applyProtection="1">
      <alignment horizontal="center" vertical="center" wrapText="1"/>
    </xf>
    <xf numFmtId="3" fontId="46" fillId="2" borderId="1" xfId="0" applyNumberFormat="1" applyFont="1" applyFill="1" applyBorder="1" applyAlignment="1" applyProtection="1">
      <alignment horizontal="left" vertical="center" wrapText="1"/>
      <protection locked="0"/>
    </xf>
    <xf numFmtId="0" fontId="47" fillId="0" borderId="1" xfId="0" applyFont="1" applyBorder="1" applyAlignment="1">
      <alignment horizontal="right" vertical="center"/>
    </xf>
    <xf numFmtId="0" fontId="46" fillId="2" borderId="1" xfId="0" applyFont="1" applyFill="1" applyBorder="1" applyAlignment="1">
      <alignment horizontal="center" vertical="center" wrapText="1"/>
    </xf>
    <xf numFmtId="3" fontId="51" fillId="2" borderId="4" xfId="0" applyNumberFormat="1" applyFont="1" applyFill="1" applyBorder="1" applyAlignment="1">
      <alignment horizontal="center" vertical="center" wrapText="1"/>
    </xf>
    <xf numFmtId="0" fontId="46" fillId="2" borderId="1" xfId="1" applyFont="1" applyFill="1" applyBorder="1" applyAlignment="1">
      <alignment horizontal="center" vertical="center"/>
    </xf>
    <xf numFmtId="0" fontId="47" fillId="2" borderId="1" xfId="1" applyFont="1" applyFill="1" applyBorder="1" applyAlignment="1">
      <alignment horizontal="right" vertical="center"/>
    </xf>
    <xf numFmtId="49" fontId="46" fillId="29" borderId="1" xfId="0" applyNumberFormat="1" applyFont="1" applyFill="1" applyBorder="1" applyAlignment="1">
      <alignment horizontal="center" vertical="center"/>
    </xf>
    <xf numFmtId="0" fontId="46" fillId="30" borderId="1" xfId="0" applyFont="1" applyFill="1" applyBorder="1" applyAlignment="1">
      <alignment horizontal="center" vertical="center"/>
    </xf>
    <xf numFmtId="3" fontId="46" fillId="30" borderId="1" xfId="0" applyNumberFormat="1" applyFont="1" applyFill="1" applyBorder="1" applyAlignment="1">
      <alignment horizontal="center" vertical="center" wrapText="1"/>
    </xf>
    <xf numFmtId="3" fontId="46" fillId="30" borderId="1" xfId="0" applyNumberFormat="1" applyFont="1" applyFill="1" applyBorder="1" applyAlignment="1">
      <alignment horizontal="right" vertical="center" wrapText="1"/>
    </xf>
    <xf numFmtId="3" fontId="51" fillId="30" borderId="1" xfId="0" applyNumberFormat="1" applyFont="1" applyFill="1" applyBorder="1" applyAlignment="1">
      <alignment horizontal="center" vertical="center" wrapText="1"/>
    </xf>
    <xf numFmtId="166" fontId="51" fillId="30" borderId="1" xfId="12" applyNumberFormat="1" applyFont="1" applyFill="1" applyBorder="1" applyAlignment="1" applyProtection="1">
      <alignment horizontal="center" vertical="center" wrapText="1"/>
    </xf>
    <xf numFmtId="3" fontId="51" fillId="30" borderId="25" xfId="0" applyNumberFormat="1" applyFont="1" applyFill="1" applyBorder="1" applyAlignment="1">
      <alignment horizontal="left" vertical="center" wrapText="1"/>
    </xf>
    <xf numFmtId="0" fontId="46" fillId="31" borderId="1" xfId="0" applyFont="1" applyFill="1" applyBorder="1" applyAlignment="1">
      <alignment horizontal="center" vertical="center"/>
    </xf>
    <xf numFmtId="3" fontId="46" fillId="31" borderId="1" xfId="0" applyNumberFormat="1" applyFont="1" applyFill="1" applyBorder="1" applyAlignment="1">
      <alignment horizontal="center" vertical="center" wrapText="1"/>
    </xf>
    <xf numFmtId="3" fontId="46" fillId="31" borderId="1" xfId="0" applyNumberFormat="1" applyFont="1" applyFill="1" applyBorder="1" applyAlignment="1">
      <alignment horizontal="right" vertical="center" wrapText="1"/>
    </xf>
    <xf numFmtId="3" fontId="51" fillId="31" borderId="1" xfId="0" applyNumberFormat="1" applyFont="1" applyFill="1" applyBorder="1" applyAlignment="1">
      <alignment horizontal="center" vertical="center" wrapText="1"/>
    </xf>
    <xf numFmtId="166" fontId="51" fillId="31" borderId="1" xfId="12" applyNumberFormat="1" applyFont="1" applyFill="1" applyBorder="1" applyAlignment="1" applyProtection="1">
      <alignment horizontal="center" vertical="center" wrapText="1"/>
    </xf>
    <xf numFmtId="3" fontId="51" fillId="31" borderId="25" xfId="0" applyNumberFormat="1" applyFont="1" applyFill="1" applyBorder="1" applyAlignment="1">
      <alignment horizontal="left" vertical="center" wrapText="1"/>
    </xf>
    <xf numFmtId="3" fontId="46" fillId="31" borderId="1" xfId="6" applyNumberFormat="1" applyFont="1" applyFill="1" applyBorder="1" applyAlignment="1">
      <alignment horizontal="center" vertical="center" wrapText="1"/>
    </xf>
    <xf numFmtId="49" fontId="46" fillId="31" borderId="5" xfId="6" applyNumberFormat="1" applyFont="1" applyFill="1" applyBorder="1" applyAlignment="1">
      <alignment horizontal="center" vertical="center"/>
    </xf>
    <xf numFmtId="0" fontId="46" fillId="31" borderId="7" xfId="6" applyFont="1" applyFill="1" applyBorder="1" applyAlignment="1">
      <alignment vertical="center" wrapText="1"/>
    </xf>
    <xf numFmtId="3" fontId="46" fillId="31" borderId="3" xfId="6" applyNumberFormat="1" applyFont="1" applyFill="1" applyBorder="1" applyAlignment="1">
      <alignment horizontal="center" vertical="center"/>
    </xf>
    <xf numFmtId="3" fontId="46" fillId="31" borderId="1" xfId="6" applyNumberFormat="1" applyFont="1" applyFill="1" applyBorder="1" applyAlignment="1">
      <alignment horizontal="center" vertical="center"/>
    </xf>
    <xf numFmtId="3" fontId="51" fillId="31" borderId="3" xfId="6" applyNumberFormat="1" applyFont="1" applyFill="1" applyBorder="1" applyAlignment="1">
      <alignment horizontal="center" vertical="center"/>
    </xf>
    <xf numFmtId="0" fontId="46" fillId="31" borderId="6" xfId="0" applyFont="1" applyFill="1" applyBorder="1" applyAlignment="1">
      <alignment horizontal="left" vertical="center" wrapText="1" readingOrder="1"/>
    </xf>
    <xf numFmtId="0" fontId="46" fillId="31" borderId="2" xfId="0" applyFont="1" applyFill="1" applyBorder="1" applyAlignment="1">
      <alignment horizontal="center" vertical="center" wrapText="1"/>
    </xf>
    <xf numFmtId="49" fontId="46" fillId="31" borderId="1" xfId="6" applyNumberFormat="1" applyFont="1" applyFill="1" applyBorder="1" applyAlignment="1">
      <alignment horizontal="center" vertical="center"/>
    </xf>
    <xf numFmtId="3" fontId="46" fillId="31" borderId="1" xfId="6" applyNumberFormat="1" applyFont="1" applyFill="1" applyBorder="1" applyAlignment="1">
      <alignment vertical="center" wrapText="1"/>
    </xf>
    <xf numFmtId="0" fontId="46" fillId="31" borderId="4" xfId="6" applyFont="1" applyFill="1" applyBorder="1" applyAlignment="1">
      <alignment vertical="center" wrapText="1"/>
    </xf>
    <xf numFmtId="0" fontId="46" fillId="31" borderId="1" xfId="0" applyFont="1" applyFill="1" applyBorder="1" applyAlignment="1">
      <alignment horizontal="left" vertical="center" wrapText="1" readingOrder="1"/>
    </xf>
    <xf numFmtId="3" fontId="46" fillId="31" borderId="1" xfId="6" applyNumberFormat="1" applyFont="1" applyFill="1" applyBorder="1" applyAlignment="1">
      <alignment horizontal="left" vertical="center" wrapText="1"/>
    </xf>
    <xf numFmtId="3" fontId="46" fillId="31" borderId="1" xfId="0" applyNumberFormat="1" applyFont="1" applyFill="1" applyBorder="1" applyAlignment="1">
      <alignment horizontal="center" vertical="center"/>
    </xf>
    <xf numFmtId="3" fontId="51" fillId="31" borderId="1" xfId="0" applyNumberFormat="1" applyFont="1" applyFill="1" applyBorder="1" applyAlignment="1">
      <alignment horizontal="center" vertical="center"/>
    </xf>
    <xf numFmtId="0" fontId="46" fillId="31" borderId="5" xfId="6" applyFont="1" applyFill="1" applyBorder="1" applyAlignment="1">
      <alignment horizontal="center" vertical="center"/>
    </xf>
    <xf numFmtId="0" fontId="48" fillId="31" borderId="0" xfId="0" applyFont="1" applyFill="1" applyAlignment="1">
      <alignment horizontal="center" vertical="center"/>
    </xf>
    <xf numFmtId="49" fontId="47" fillId="31" borderId="0" xfId="0" applyNumberFormat="1" applyFont="1" applyFill="1" applyAlignment="1">
      <alignment horizontal="left" vertical="center"/>
    </xf>
    <xf numFmtId="0" fontId="47" fillId="31" borderId="0" xfId="0" applyFont="1" applyFill="1" applyAlignment="1">
      <alignment vertical="center"/>
    </xf>
    <xf numFmtId="9" fontId="48" fillId="31" borderId="0" xfId="12" applyFont="1" applyFill="1" applyAlignment="1" applyProtection="1">
      <alignment horizontal="center" vertical="center"/>
    </xf>
    <xf numFmtId="49" fontId="46" fillId="28" borderId="25" xfId="6" applyNumberFormat="1" applyFont="1" applyFill="1" applyBorder="1" applyAlignment="1">
      <alignment horizontal="left" vertical="center" wrapText="1"/>
    </xf>
    <xf numFmtId="49" fontId="46" fillId="28" borderId="25" xfId="0" applyNumberFormat="1" applyFont="1" applyFill="1" applyBorder="1" applyAlignment="1">
      <alignment horizontal="left" vertical="center"/>
    </xf>
    <xf numFmtId="49" fontId="46" fillId="28" borderId="25" xfId="6" applyNumberFormat="1" applyFont="1" applyFill="1" applyBorder="1" applyAlignment="1">
      <alignment horizontal="left" vertical="center"/>
    </xf>
    <xf numFmtId="3" fontId="51" fillId="28" borderId="25" xfId="0" applyNumberFormat="1" applyFont="1" applyFill="1" applyBorder="1" applyAlignment="1">
      <alignment vertical="center" wrapText="1"/>
    </xf>
    <xf numFmtId="3" fontId="46" fillId="28" borderId="1" xfId="0" applyNumberFormat="1" applyFont="1" applyFill="1" applyBorder="1" applyAlignment="1" applyProtection="1">
      <alignment horizontal="right" vertical="center" wrapText="1"/>
      <protection locked="0"/>
    </xf>
    <xf numFmtId="3" fontId="51" fillId="28" borderId="1" xfId="0" applyNumberFormat="1" applyFont="1" applyFill="1" applyBorder="1" applyAlignment="1">
      <alignment vertical="center" wrapText="1"/>
    </xf>
    <xf numFmtId="3" fontId="47" fillId="2" borderId="1" xfId="6" applyNumberFormat="1" applyFont="1" applyFill="1" applyBorder="1" applyAlignment="1">
      <alignment horizontal="left" vertical="top" wrapText="1"/>
    </xf>
    <xf numFmtId="0" fontId="46" fillId="0" borderId="0" xfId="0" applyFont="1" applyAlignment="1">
      <alignment vertical="center"/>
    </xf>
    <xf numFmtId="0" fontId="46" fillId="0" borderId="0" xfId="0" applyFont="1" applyAlignment="1" applyProtection="1">
      <alignment vertical="center"/>
      <protection locked="0"/>
    </xf>
    <xf numFmtId="0" fontId="46" fillId="31" borderId="1" xfId="1" applyFont="1" applyFill="1" applyBorder="1" applyAlignment="1">
      <alignment horizontal="center" vertical="center"/>
    </xf>
    <xf numFmtId="0" fontId="46" fillId="28" borderId="1" xfId="0" applyFont="1" applyFill="1" applyBorder="1" applyAlignment="1" applyProtection="1">
      <alignment vertical="center"/>
      <protection locked="0"/>
    </xf>
    <xf numFmtId="1" fontId="46" fillId="31" borderId="1" xfId="0" applyNumberFormat="1" applyFont="1" applyFill="1" applyBorder="1" applyAlignment="1">
      <alignment horizontal="right" vertical="center" wrapText="1"/>
    </xf>
    <xf numFmtId="1" fontId="46" fillId="29" borderId="1" xfId="0" applyNumberFormat="1" applyFont="1" applyFill="1" applyBorder="1" applyAlignment="1">
      <alignment horizontal="right" vertical="center" wrapText="1"/>
    </xf>
    <xf numFmtId="1" fontId="46" fillId="28" borderId="1" xfId="0" applyNumberFormat="1" applyFont="1" applyFill="1" applyBorder="1" applyAlignment="1">
      <alignment horizontal="right" vertical="center" wrapText="1"/>
    </xf>
    <xf numFmtId="1" fontId="47" fillId="2" borderId="1" xfId="0" applyNumberFormat="1" applyFont="1" applyFill="1" applyBorder="1" applyAlignment="1" applyProtection="1">
      <alignment horizontal="right" vertical="center" wrapText="1"/>
      <protection locked="0"/>
    </xf>
    <xf numFmtId="1" fontId="47" fillId="0" borderId="1" xfId="0" applyNumberFormat="1" applyFont="1" applyBorder="1" applyAlignment="1" applyProtection="1">
      <alignment horizontal="right" vertical="center" wrapText="1"/>
      <protection locked="0"/>
    </xf>
    <xf numFmtId="1" fontId="46" fillId="2" borderId="1" xfId="0" applyNumberFormat="1" applyFont="1" applyFill="1" applyBorder="1" applyAlignment="1" applyProtection="1">
      <alignment horizontal="right" vertical="center" wrapText="1"/>
      <protection locked="0"/>
    </xf>
    <xf numFmtId="1" fontId="46" fillId="0" borderId="1" xfId="0" applyNumberFormat="1" applyFont="1" applyBorder="1" applyAlignment="1" applyProtection="1">
      <alignment horizontal="right" vertical="center" wrapText="1"/>
      <protection locked="0"/>
    </xf>
    <xf numFmtId="1" fontId="47" fillId="2" borderId="1" xfId="0" applyNumberFormat="1" applyFont="1" applyFill="1" applyBorder="1" applyAlignment="1">
      <alignment horizontal="right" vertical="center" wrapText="1"/>
    </xf>
    <xf numFmtId="1" fontId="46" fillId="2" borderId="1" xfId="0" applyNumberFormat="1" applyFont="1" applyFill="1" applyBorder="1" applyAlignment="1">
      <alignment horizontal="right" vertical="center" wrapText="1"/>
    </xf>
    <xf numFmtId="1" fontId="46" fillId="0" borderId="1" xfId="0" applyNumberFormat="1" applyFont="1" applyBorder="1" applyAlignment="1">
      <alignment horizontal="right" vertical="center" wrapText="1"/>
    </xf>
    <xf numFmtId="1" fontId="46" fillId="28" borderId="1" xfId="0" applyNumberFormat="1" applyFont="1" applyFill="1" applyBorder="1" applyAlignment="1" applyProtection="1">
      <alignment horizontal="right" vertical="center" wrapText="1"/>
      <protection locked="0"/>
    </xf>
    <xf numFmtId="1" fontId="53" fillId="28" borderId="1" xfId="0" applyNumberFormat="1" applyFont="1" applyFill="1" applyBorder="1" applyAlignment="1">
      <alignment horizontal="right" vertical="center" wrapText="1"/>
    </xf>
    <xf numFmtId="1" fontId="46" fillId="30" borderId="1" xfId="0" applyNumberFormat="1" applyFont="1" applyFill="1" applyBorder="1" applyAlignment="1">
      <alignment horizontal="right" vertical="center" wrapText="1"/>
    </xf>
    <xf numFmtId="0" fontId="34" fillId="0" borderId="1" xfId="1467" applyFont="1" applyBorder="1" applyAlignment="1">
      <alignment horizontal="center" vertical="center"/>
    </xf>
    <xf numFmtId="3" fontId="34" fillId="0" borderId="1" xfId="0" applyNumberFormat="1" applyFont="1" applyBorder="1" applyAlignment="1">
      <alignment horizontal="center" vertical="center" wrapText="1"/>
    </xf>
    <xf numFmtId="3" fontId="58" fillId="3" borderId="1" xfId="0" applyNumberFormat="1" applyFont="1" applyFill="1" applyBorder="1" applyAlignment="1">
      <alignment horizontal="center" vertical="center" wrapText="1"/>
    </xf>
    <xf numFmtId="166" fontId="58" fillId="3" borderId="1" xfId="12" applyNumberFormat="1" applyFont="1" applyFill="1" applyBorder="1" applyAlignment="1" applyProtection="1">
      <alignment horizontal="center" vertical="center" wrapText="1"/>
    </xf>
    <xf numFmtId="3" fontId="58" fillId="3" borderId="1" xfId="12" applyNumberFormat="1" applyFont="1" applyFill="1" applyBorder="1" applyAlignment="1" applyProtection="1">
      <alignment horizontal="center" vertical="center" wrapText="1"/>
    </xf>
    <xf numFmtId="0" fontId="34" fillId="0" borderId="1" xfId="1467" applyFont="1" applyBorder="1" applyAlignment="1">
      <alignment vertical="center" wrapText="1"/>
    </xf>
    <xf numFmtId="3" fontId="34" fillId="0" borderId="1" xfId="1467" applyNumberFormat="1" applyFont="1" applyBorder="1" applyAlignment="1" applyProtection="1">
      <alignment horizontal="center" vertical="center"/>
      <protection locked="0"/>
    </xf>
    <xf numFmtId="168" fontId="34" fillId="0" borderId="1" xfId="1467" applyNumberFormat="1" applyFont="1" applyBorder="1" applyAlignment="1" applyProtection="1">
      <alignment horizontal="center" vertical="center"/>
      <protection locked="0"/>
    </xf>
    <xf numFmtId="168" fontId="34" fillId="0" borderId="1" xfId="0" applyNumberFormat="1" applyFont="1" applyBorder="1" applyAlignment="1">
      <alignment horizontal="center" vertical="center" wrapText="1"/>
    </xf>
    <xf numFmtId="168" fontId="58" fillId="0" borderId="1" xfId="1467" applyNumberFormat="1" applyFont="1" applyBorder="1" applyAlignment="1" applyProtection="1">
      <alignment horizontal="center" vertical="center"/>
      <protection locked="0"/>
    </xf>
    <xf numFmtId="3" fontId="58" fillId="0" borderId="1" xfId="1467" applyNumberFormat="1" applyFont="1" applyBorder="1" applyAlignment="1" applyProtection="1">
      <alignment horizontal="center" vertical="center"/>
      <protection locked="0"/>
    </xf>
    <xf numFmtId="9" fontId="58" fillId="0" borderId="1" xfId="12" applyFont="1" applyFill="1" applyBorder="1" applyAlignment="1" applyProtection="1">
      <alignment horizontal="center" vertical="center"/>
      <protection locked="0"/>
    </xf>
    <xf numFmtId="49" fontId="34" fillId="0" borderId="1" xfId="1467" applyNumberFormat="1" applyFont="1" applyBorder="1" applyAlignment="1" applyProtection="1">
      <alignment horizontal="center" vertical="center"/>
      <protection locked="0"/>
    </xf>
    <xf numFmtId="3" fontId="57" fillId="28" borderId="1" xfId="1467" applyNumberFormat="1" applyFont="1" applyFill="1" applyBorder="1" applyAlignment="1">
      <alignment horizontal="center" vertical="center"/>
    </xf>
    <xf numFmtId="3" fontId="59" fillId="28" borderId="1" xfId="1467" applyNumberFormat="1" applyFont="1" applyFill="1" applyBorder="1" applyAlignment="1">
      <alignment horizontal="center" vertical="center"/>
    </xf>
    <xf numFmtId="9" fontId="59" fillId="28" borderId="1" xfId="12" applyFont="1" applyFill="1" applyBorder="1" applyAlignment="1" applyProtection="1">
      <alignment horizontal="center" vertical="center"/>
    </xf>
    <xf numFmtId="49" fontId="57" fillId="28" borderId="1" xfId="1467" applyNumberFormat="1" applyFont="1" applyFill="1" applyBorder="1" applyAlignment="1">
      <alignment horizontal="center" vertical="center"/>
    </xf>
    <xf numFmtId="3" fontId="57" fillId="28" borderId="1" xfId="1467" applyNumberFormat="1" applyFont="1" applyFill="1" applyBorder="1" applyAlignment="1" applyProtection="1">
      <alignment horizontal="center" vertical="center"/>
      <protection locked="0"/>
    </xf>
    <xf numFmtId="9" fontId="58" fillId="28" borderId="1" xfId="12" applyFont="1" applyFill="1" applyBorder="1" applyAlignment="1" applyProtection="1">
      <alignment horizontal="center" vertical="center"/>
      <protection locked="0"/>
    </xf>
    <xf numFmtId="3" fontId="58" fillId="28" borderId="1" xfId="1467" applyNumberFormat="1" applyFont="1" applyFill="1" applyBorder="1" applyAlignment="1" applyProtection="1">
      <alignment horizontal="center" vertical="center"/>
      <protection locked="0"/>
    </xf>
    <xf numFmtId="49" fontId="34" fillId="28" borderId="1" xfId="1467" applyNumberFormat="1" applyFont="1" applyFill="1" applyBorder="1" applyAlignment="1" applyProtection="1">
      <alignment horizontal="center" vertical="center"/>
      <protection locked="0"/>
    </xf>
    <xf numFmtId="0" fontId="34" fillId="2" borderId="1" xfId="1467" applyFont="1" applyFill="1" applyBorder="1" applyAlignment="1">
      <alignment horizontal="center" vertical="center"/>
    </xf>
    <xf numFmtId="0" fontId="34" fillId="2" borderId="1" xfId="1467" applyFont="1" applyFill="1" applyBorder="1" applyAlignment="1">
      <alignment vertical="center" wrapText="1"/>
    </xf>
    <xf numFmtId="3" fontId="57" fillId="2" borderId="1" xfId="1467" applyNumberFormat="1" applyFont="1" applyFill="1" applyBorder="1" applyAlignment="1">
      <alignment horizontal="center" vertical="center"/>
    </xf>
    <xf numFmtId="3" fontId="59" fillId="2" borderId="1" xfId="1467" applyNumberFormat="1" applyFont="1" applyFill="1" applyBorder="1" applyAlignment="1">
      <alignment horizontal="center" vertical="center"/>
    </xf>
    <xf numFmtId="9" fontId="59" fillId="2" borderId="1" xfId="12" applyFont="1" applyFill="1" applyBorder="1" applyAlignment="1" applyProtection="1">
      <alignment horizontal="center" vertical="center"/>
    </xf>
    <xf numFmtId="49" fontId="57" fillId="2" borderId="1" xfId="1467" applyNumberFormat="1" applyFont="1" applyFill="1" applyBorder="1" applyAlignment="1">
      <alignment horizontal="center" vertical="center"/>
    </xf>
    <xf numFmtId="3" fontId="60" fillId="0" borderId="0" xfId="1467" applyNumberFormat="1" applyFont="1" applyAlignment="1">
      <alignment horizontal="center" vertical="center"/>
    </xf>
    <xf numFmtId="9" fontId="60" fillId="0" borderId="0" xfId="12" applyFont="1" applyFill="1" applyBorder="1" applyAlignment="1" applyProtection="1">
      <alignment horizontal="center" vertical="center"/>
    </xf>
    <xf numFmtId="0" fontId="34" fillId="0" borderId="0" xfId="1467" applyFont="1" applyAlignment="1">
      <alignment vertical="center"/>
    </xf>
    <xf numFmtId="1" fontId="51" fillId="31" borderId="1" xfId="12" applyNumberFormat="1" applyFont="1" applyFill="1" applyBorder="1" applyAlignment="1" applyProtection="1">
      <alignment horizontal="center" vertical="center" wrapText="1"/>
    </xf>
    <xf numFmtId="1" fontId="51" fillId="28" borderId="1" xfId="12" applyNumberFormat="1" applyFont="1" applyFill="1" applyBorder="1" applyAlignment="1" applyProtection="1">
      <alignment horizontal="center" vertical="center" wrapText="1"/>
    </xf>
    <xf numFmtId="49" fontId="34" fillId="0" borderId="1" xfId="1467" applyNumberFormat="1" applyFont="1" applyBorder="1" applyAlignment="1" applyProtection="1">
      <alignment horizontal="left" vertical="center" wrapText="1"/>
      <protection locked="0"/>
    </xf>
    <xf numFmtId="3" fontId="51" fillId="0" borderId="1" xfId="6" applyNumberFormat="1" applyFont="1" applyBorder="1" applyAlignment="1">
      <alignment horizontal="center" vertical="center" wrapText="1"/>
    </xf>
    <xf numFmtId="9" fontId="51" fillId="0" borderId="1" xfId="12" applyFont="1" applyFill="1" applyBorder="1" applyAlignment="1" applyProtection="1">
      <alignment horizontal="center" vertical="center" wrapText="1"/>
    </xf>
    <xf numFmtId="3" fontId="51" fillId="32" borderId="1" xfId="6" applyNumberFormat="1" applyFont="1" applyFill="1" applyBorder="1" applyAlignment="1">
      <alignment horizontal="center" vertical="center" wrapText="1"/>
    </xf>
    <xf numFmtId="9" fontId="51" fillId="32" borderId="1" xfId="12" applyFont="1" applyFill="1" applyBorder="1" applyAlignment="1" applyProtection="1">
      <alignment horizontal="center" vertical="center" wrapText="1"/>
    </xf>
    <xf numFmtId="3" fontId="46" fillId="0" borderId="1" xfId="0" applyNumberFormat="1" applyFont="1" applyBorder="1" applyAlignment="1" applyProtection="1">
      <alignment horizontal="left" vertical="center" wrapText="1"/>
      <protection locked="0"/>
    </xf>
    <xf numFmtId="3" fontId="51" fillId="0" borderId="25" xfId="0" applyNumberFormat="1" applyFont="1" applyBorder="1" applyAlignment="1">
      <alignment horizontal="left" vertical="center" wrapText="1"/>
    </xf>
    <xf numFmtId="3" fontId="47" fillId="0" borderId="1" xfId="6" applyNumberFormat="1" applyFont="1" applyBorder="1" applyAlignment="1">
      <alignment horizontal="right" vertical="center"/>
    </xf>
    <xf numFmtId="49" fontId="47" fillId="0" borderId="1" xfId="6" applyNumberFormat="1" applyFont="1" applyBorder="1" applyAlignment="1">
      <alignment horizontal="left" vertical="center" wrapText="1"/>
    </xf>
    <xf numFmtId="49" fontId="47" fillId="0" borderId="4" xfId="6" applyNumberFormat="1" applyFont="1" applyBorder="1" applyAlignment="1">
      <alignment horizontal="left" vertical="center" wrapText="1"/>
    </xf>
    <xf numFmtId="0" fontId="46" fillId="0" borderId="1" xfId="0" applyFont="1" applyBorder="1" applyAlignment="1">
      <alignment horizontal="center" vertical="center"/>
    </xf>
    <xf numFmtId="49" fontId="48" fillId="0" borderId="1" xfId="12" applyNumberFormat="1" applyFont="1" applyFill="1" applyBorder="1" applyAlignment="1" applyProtection="1">
      <alignment horizontal="left" vertical="center" wrapText="1"/>
    </xf>
    <xf numFmtId="3" fontId="58" fillId="0" borderId="1" xfId="0" applyNumberFormat="1" applyFont="1" applyBorder="1" applyAlignment="1">
      <alignment horizontal="center" vertical="center" wrapText="1"/>
    </xf>
    <xf numFmtId="166" fontId="58" fillId="0" borderId="1" xfId="12" applyNumberFormat="1" applyFont="1" applyFill="1" applyBorder="1" applyAlignment="1" applyProtection="1">
      <alignment horizontal="center" vertical="center" wrapText="1"/>
    </xf>
    <xf numFmtId="3" fontId="58" fillId="0" borderId="1" xfId="12" applyNumberFormat="1" applyFont="1" applyFill="1" applyBorder="1" applyAlignment="1" applyProtection="1">
      <alignment horizontal="center" vertical="center" wrapText="1"/>
    </xf>
    <xf numFmtId="3" fontId="57" fillId="0" borderId="1" xfId="1467" applyNumberFormat="1" applyFont="1" applyBorder="1" applyAlignment="1">
      <alignment horizontal="center" vertical="center"/>
    </xf>
    <xf numFmtId="3" fontId="59" fillId="0" borderId="1" xfId="1467" applyNumberFormat="1" applyFont="1" applyBorder="1" applyAlignment="1">
      <alignment horizontal="center" vertical="center"/>
    </xf>
    <xf numFmtId="9" fontId="59" fillId="0" borderId="1" xfId="12" applyFont="1" applyFill="1" applyBorder="1" applyAlignment="1" applyProtection="1">
      <alignment horizontal="center" vertical="center"/>
    </xf>
    <xf numFmtId="49" fontId="57" fillId="0" borderId="1" xfId="1467" applyNumberFormat="1" applyFont="1" applyBorder="1" applyAlignment="1">
      <alignment horizontal="center" vertical="center"/>
    </xf>
    <xf numFmtId="49" fontId="34" fillId="0" borderId="1" xfId="1467" applyNumberFormat="1" applyFont="1" applyBorder="1" applyAlignment="1">
      <alignment horizontal="left" vertical="center" wrapText="1"/>
    </xf>
    <xf numFmtId="3" fontId="34" fillId="0" borderId="0" xfId="1467" applyNumberFormat="1" applyFont="1" applyAlignment="1">
      <alignment horizontal="center" vertical="center"/>
    </xf>
    <xf numFmtId="3" fontId="58" fillId="0" borderId="0" xfId="1467" applyNumberFormat="1" applyFont="1" applyAlignment="1">
      <alignment horizontal="center" vertical="center"/>
    </xf>
    <xf numFmtId="9" fontId="58" fillId="0" borderId="0" xfId="12" applyFont="1" applyFill="1" applyBorder="1" applyAlignment="1" applyProtection="1">
      <alignment horizontal="center" vertical="center"/>
    </xf>
    <xf numFmtId="49" fontId="34" fillId="0" borderId="0" xfId="1467" applyNumberFormat="1" applyFont="1" applyAlignment="1">
      <alignment horizontal="center" vertical="center"/>
    </xf>
    <xf numFmtId="0" fontId="57" fillId="0" borderId="0" xfId="1467" applyFont="1" applyAlignment="1">
      <alignment horizontal="center"/>
    </xf>
    <xf numFmtId="168" fontId="34" fillId="0" borderId="0" xfId="1467" applyNumberFormat="1" applyFont="1" applyAlignment="1">
      <alignment horizontal="right" vertical="center"/>
    </xf>
    <xf numFmtId="168" fontId="62" fillId="0" borderId="0" xfId="1467" applyNumberFormat="1" applyFont="1" applyAlignment="1">
      <alignment horizontal="right" vertical="center"/>
    </xf>
    <xf numFmtId="0" fontId="62" fillId="0" borderId="0" xfId="1467" applyFont="1" applyAlignment="1">
      <alignment vertical="center"/>
    </xf>
    <xf numFmtId="168" fontId="62" fillId="0" borderId="0" xfId="1467" applyNumberFormat="1" applyFont="1" applyAlignment="1">
      <alignment vertical="center"/>
    </xf>
    <xf numFmtId="3" fontId="62" fillId="0" borderId="0" xfId="1467" applyNumberFormat="1" applyFont="1" applyAlignment="1">
      <alignment vertical="center"/>
    </xf>
    <xf numFmtId="3" fontId="39" fillId="0" borderId="0" xfId="0" applyNumberFormat="1" applyFont="1" applyAlignment="1">
      <alignment vertical="center"/>
    </xf>
    <xf numFmtId="3" fontId="63" fillId="0" borderId="0" xfId="0" applyNumberFormat="1" applyFont="1" applyAlignment="1">
      <alignment vertical="center"/>
    </xf>
    <xf numFmtId="0" fontId="63" fillId="0" borderId="0" xfId="0" applyFont="1" applyAlignment="1">
      <alignment vertical="center"/>
    </xf>
    <xf numFmtId="49" fontId="46" fillId="0" borderId="25" xfId="6" applyNumberFormat="1" applyFont="1" applyBorder="1" applyAlignment="1">
      <alignment horizontal="left" vertical="center"/>
    </xf>
    <xf numFmtId="49" fontId="47" fillId="0" borderId="1" xfId="6" applyNumberFormat="1" applyFont="1" applyBorder="1" applyAlignment="1">
      <alignment horizontal="right" vertical="center"/>
    </xf>
    <xf numFmtId="3" fontId="48" fillId="0" borderId="6" xfId="6" applyNumberFormat="1" applyFont="1" applyBorder="1" applyAlignment="1">
      <alignment horizontal="left" vertical="center" wrapText="1" indent="2"/>
    </xf>
    <xf numFmtId="3" fontId="47" fillId="0" borderId="6" xfId="6" applyNumberFormat="1" applyFont="1" applyBorder="1" applyAlignment="1" applyProtection="1">
      <alignment horizontal="right" vertical="center" wrapText="1"/>
      <protection locked="0"/>
    </xf>
    <xf numFmtId="3" fontId="47" fillId="0" borderId="6" xfId="6" applyNumberFormat="1" applyFont="1" applyBorder="1" applyAlignment="1">
      <alignment vertical="center" wrapText="1"/>
    </xf>
    <xf numFmtId="3" fontId="46" fillId="0" borderId="1" xfId="0" applyNumberFormat="1" applyFont="1" applyBorder="1" applyAlignment="1">
      <alignment horizontal="right" vertical="center" wrapText="1"/>
    </xf>
    <xf numFmtId="0" fontId="47" fillId="0" borderId="1" xfId="1" applyFont="1" applyBorder="1" applyAlignment="1">
      <alignment horizontal="center" vertical="center" wrapText="1"/>
    </xf>
    <xf numFmtId="0" fontId="47" fillId="0" borderId="0" xfId="1" applyFont="1" applyAlignment="1">
      <alignment vertical="center"/>
    </xf>
    <xf numFmtId="49" fontId="46" fillId="31" borderId="1" xfId="1" applyNumberFormat="1" applyFont="1" applyFill="1" applyBorder="1" applyAlignment="1">
      <alignment horizontal="center" vertical="center" wrapText="1"/>
    </xf>
    <xf numFmtId="0" fontId="46" fillId="31" borderId="1" xfId="1" applyFont="1" applyFill="1" applyBorder="1" applyAlignment="1">
      <alignment horizontal="center" vertical="center" wrapText="1"/>
    </xf>
    <xf numFmtId="0" fontId="47" fillId="0" borderId="0" xfId="1" applyFont="1" applyAlignment="1">
      <alignment vertical="center" wrapText="1"/>
    </xf>
    <xf numFmtId="49" fontId="46" fillId="28" borderId="1" xfId="5" applyNumberFormat="1" applyFont="1" applyFill="1" applyBorder="1" applyAlignment="1">
      <alignment horizontal="center" vertical="center" wrapText="1"/>
    </xf>
    <xf numFmtId="49" fontId="46" fillId="2" borderId="1" xfId="5" applyNumberFormat="1" applyFont="1" applyFill="1" applyBorder="1" applyAlignment="1">
      <alignment horizontal="center" vertical="center" wrapText="1"/>
    </xf>
    <xf numFmtId="3" fontId="46" fillId="2" borderId="1" xfId="6" applyNumberFormat="1" applyFont="1" applyFill="1" applyBorder="1" applyAlignment="1">
      <alignment vertical="center" wrapText="1"/>
    </xf>
    <xf numFmtId="49" fontId="47" fillId="2" borderId="1" xfId="5" applyNumberFormat="1" applyFont="1" applyFill="1" applyBorder="1" applyAlignment="1">
      <alignment horizontal="center" vertical="center" wrapText="1"/>
    </xf>
    <xf numFmtId="49" fontId="47" fillId="0" borderId="1" xfId="5" applyNumberFormat="1" applyFont="1" applyBorder="1" applyAlignment="1">
      <alignment horizontal="center" vertical="center" wrapText="1"/>
    </xf>
    <xf numFmtId="0" fontId="34" fillId="0" borderId="1" xfId="0" applyFont="1" applyBorder="1"/>
    <xf numFmtId="49" fontId="47" fillId="31" borderId="1" xfId="5" applyNumberFormat="1" applyFont="1" applyFill="1" applyBorder="1" applyAlignment="1">
      <alignment horizontal="center" vertical="center" wrapText="1"/>
    </xf>
    <xf numFmtId="49" fontId="46" fillId="28" borderId="1" xfId="1" applyNumberFormat="1" applyFont="1" applyFill="1" applyBorder="1" applyAlignment="1">
      <alignment horizontal="center" vertical="center" wrapText="1"/>
    </xf>
    <xf numFmtId="0" fontId="46" fillId="0" borderId="0" xfId="1" applyFont="1" applyAlignment="1">
      <alignment vertical="center" wrapText="1"/>
    </xf>
    <xf numFmtId="49" fontId="47" fillId="0" borderId="1" xfId="1" applyNumberFormat="1" applyFont="1" applyBorder="1" applyAlignment="1">
      <alignment horizontal="center" vertical="center" wrapText="1"/>
    </xf>
    <xf numFmtId="49" fontId="46" fillId="0" borderId="1" xfId="1" applyNumberFormat="1" applyFont="1" applyBorder="1" applyAlignment="1">
      <alignment horizontal="center" vertical="center" wrapText="1"/>
    </xf>
    <xf numFmtId="3" fontId="46" fillId="0" borderId="1" xfId="6" applyNumberFormat="1" applyFont="1" applyBorder="1" applyAlignment="1">
      <alignment vertical="center" wrapText="1"/>
    </xf>
    <xf numFmtId="0" fontId="46" fillId="28" borderId="1" xfId="1" applyFont="1" applyFill="1" applyBorder="1" applyAlignment="1">
      <alignment horizontal="left" vertical="center" wrapText="1"/>
    </xf>
    <xf numFmtId="49" fontId="47" fillId="0" borderId="0" xfId="1" applyNumberFormat="1" applyFont="1" applyAlignment="1">
      <alignment horizontal="center" vertical="center"/>
    </xf>
    <xf numFmtId="3" fontId="66" fillId="2" borderId="1" xfId="0" applyNumberFormat="1" applyFont="1" applyFill="1" applyBorder="1" applyAlignment="1" applyProtection="1">
      <alignment vertical="center" wrapText="1"/>
      <protection locked="0"/>
    </xf>
    <xf numFmtId="3" fontId="65" fillId="2" borderId="1" xfId="0" applyNumberFormat="1" applyFont="1" applyFill="1" applyBorder="1" applyAlignment="1" applyProtection="1">
      <alignment vertical="center" wrapText="1"/>
      <protection locked="0"/>
    </xf>
    <xf numFmtId="3" fontId="65" fillId="0" borderId="1" xfId="0" applyNumberFormat="1" applyFont="1" applyBorder="1" applyAlignment="1" applyProtection="1">
      <alignment vertical="center" wrapText="1"/>
      <protection locked="0"/>
    </xf>
    <xf numFmtId="3" fontId="66" fillId="28" borderId="1" xfId="1" applyNumberFormat="1" applyFont="1" applyFill="1" applyBorder="1" applyAlignment="1">
      <alignment vertical="center" wrapText="1"/>
    </xf>
    <xf numFmtId="3" fontId="65" fillId="0" borderId="1" xfId="1" applyNumberFormat="1" applyFont="1" applyBorder="1" applyAlignment="1">
      <alignment vertical="center" wrapText="1"/>
    </xf>
    <xf numFmtId="0" fontId="47" fillId="0" borderId="0" xfId="0" applyFont="1" applyAlignment="1" applyProtection="1">
      <alignment vertical="center" wrapText="1"/>
      <protection locked="0"/>
    </xf>
    <xf numFmtId="3" fontId="66" fillId="0" borderId="1" xfId="1" applyNumberFormat="1" applyFont="1" applyBorder="1" applyAlignment="1">
      <alignment vertical="center" wrapText="1"/>
    </xf>
    <xf numFmtId="2" fontId="46" fillId="2" borderId="1" xfId="0" applyNumberFormat="1" applyFont="1" applyFill="1" applyBorder="1" applyAlignment="1" applyProtection="1">
      <alignment horizontal="right" vertical="center" wrapText="1"/>
      <protection locked="0"/>
    </xf>
    <xf numFmtId="3" fontId="48" fillId="28" borderId="1" xfId="6" applyNumberFormat="1" applyFont="1" applyFill="1" applyBorder="1" applyAlignment="1" applyProtection="1">
      <alignment horizontal="center" vertical="center"/>
      <protection locked="0"/>
    </xf>
    <xf numFmtId="2" fontId="47" fillId="0" borderId="1" xfId="0" applyNumberFormat="1" applyFont="1" applyBorder="1" applyAlignment="1" applyProtection="1">
      <alignment horizontal="right" vertical="center" wrapText="1"/>
      <protection locked="0"/>
    </xf>
    <xf numFmtId="0" fontId="46" fillId="0" borderId="1" xfId="6" applyFont="1" applyBorder="1" applyAlignment="1">
      <alignment horizontal="center" vertical="center" wrapText="1"/>
    </xf>
    <xf numFmtId="0" fontId="46" fillId="0" borderId="0" xfId="6" applyFont="1" applyAlignment="1">
      <alignment horizontal="center" vertical="center" wrapText="1"/>
    </xf>
    <xf numFmtId="49" fontId="46" fillId="0" borderId="0" xfId="6" applyNumberFormat="1" applyFont="1" applyAlignment="1">
      <alignment horizontal="left" vertical="center" wrapText="1"/>
    </xf>
    <xf numFmtId="3" fontId="46" fillId="0" borderId="0" xfId="6" applyNumberFormat="1" applyFont="1" applyAlignment="1" applyProtection="1">
      <alignment horizontal="right" vertical="center" wrapText="1"/>
      <protection locked="0"/>
    </xf>
    <xf numFmtId="3" fontId="46" fillId="0" borderId="1" xfId="6" applyNumberFormat="1" applyFont="1" applyBorder="1" applyAlignment="1">
      <alignment horizontal="right" vertical="center" wrapText="1"/>
    </xf>
    <xf numFmtId="0" fontId="47" fillId="0" borderId="1" xfId="1" applyFont="1" applyBorder="1" applyAlignment="1">
      <alignment vertical="center" wrapText="1"/>
    </xf>
    <xf numFmtId="1" fontId="65" fillId="0" borderId="1" xfId="0" applyNumberFormat="1" applyFont="1" applyBorder="1"/>
    <xf numFmtId="3" fontId="67" fillId="2" borderId="1" xfId="0" applyNumberFormat="1" applyFont="1" applyFill="1" applyBorder="1" applyAlignment="1" applyProtection="1">
      <alignment vertical="center" wrapText="1"/>
      <protection locked="0"/>
    </xf>
    <xf numFmtId="0" fontId="34" fillId="0" borderId="0" xfId="1" applyFont="1" applyAlignment="1">
      <alignment vertical="center" wrapText="1"/>
    </xf>
    <xf numFmtId="49" fontId="47" fillId="0" borderId="6" xfId="1" applyNumberFormat="1" applyFont="1" applyBorder="1" applyAlignment="1">
      <alignment horizontal="center" vertical="center" wrapText="1"/>
    </xf>
    <xf numFmtId="49" fontId="34" fillId="0" borderId="1" xfId="1467" applyNumberFormat="1" applyFont="1" applyBorder="1" applyAlignment="1" applyProtection="1">
      <alignment horizontal="center" vertical="center" wrapText="1"/>
      <protection locked="0"/>
    </xf>
    <xf numFmtId="3" fontId="46" fillId="30" borderId="1" xfId="0" applyNumberFormat="1" applyFont="1" applyFill="1" applyBorder="1" applyAlignment="1">
      <alignment horizontal="right" vertical="center"/>
    </xf>
    <xf numFmtId="3" fontId="46" fillId="30" borderId="1" xfId="0" applyNumberFormat="1" applyFont="1" applyFill="1" applyBorder="1" applyAlignment="1">
      <alignment horizontal="center" vertical="center"/>
    </xf>
    <xf numFmtId="0" fontId="65" fillId="0" borderId="0" xfId="0" applyFont="1" applyAlignment="1" applyProtection="1">
      <alignment vertical="center"/>
      <protection locked="0"/>
    </xf>
    <xf numFmtId="9" fontId="51" fillId="0" borderId="1" xfId="12" applyFont="1" applyFill="1" applyBorder="1" applyAlignment="1" applyProtection="1">
      <alignment horizontal="center" vertical="center"/>
    </xf>
    <xf numFmtId="3" fontId="47" fillId="0" borderId="1" xfId="0" applyNumberFormat="1" applyFont="1" applyBorder="1" applyAlignment="1">
      <alignment horizontal="center" vertical="center"/>
    </xf>
    <xf numFmtId="9" fontId="51" fillId="32" borderId="1" xfId="12" applyFont="1" applyFill="1" applyBorder="1" applyAlignment="1" applyProtection="1">
      <alignment horizontal="center" vertical="center"/>
    </xf>
    <xf numFmtId="0" fontId="68" fillId="0" borderId="27" xfId="0" applyFont="1" applyBorder="1"/>
    <xf numFmtId="0" fontId="34" fillId="4" borderId="27" xfId="0" applyFont="1" applyFill="1" applyBorder="1" applyAlignment="1">
      <alignment horizontal="left" vertical="center" wrapText="1"/>
    </xf>
    <xf numFmtId="0" fontId="69" fillId="0" borderId="27" xfId="0" applyFont="1" applyBorder="1"/>
    <xf numFmtId="0" fontId="69" fillId="0" borderId="27" xfId="0" applyFont="1" applyBorder="1" applyAlignment="1">
      <alignment wrapText="1"/>
    </xf>
    <xf numFmtId="0" fontId="47" fillId="33" borderId="1" xfId="0" applyFont="1" applyFill="1" applyBorder="1" applyAlignment="1">
      <alignment wrapText="1"/>
    </xf>
    <xf numFmtId="0" fontId="47" fillId="33" borderId="6" xfId="0" applyFont="1" applyFill="1" applyBorder="1" applyAlignment="1">
      <alignment wrapText="1"/>
    </xf>
    <xf numFmtId="0" fontId="47" fillId="0" borderId="1" xfId="0" applyFont="1" applyBorder="1" applyAlignment="1">
      <alignment wrapText="1"/>
    </xf>
    <xf numFmtId="0" fontId="46" fillId="33" borderId="1" xfId="0" applyFont="1" applyFill="1" applyBorder="1" applyAlignment="1">
      <alignment wrapText="1"/>
    </xf>
    <xf numFmtId="49" fontId="47" fillId="2" borderId="5" xfId="5" applyNumberFormat="1" applyFont="1" applyFill="1" applyBorder="1" applyAlignment="1">
      <alignment horizontal="center" vertical="center" wrapText="1"/>
    </xf>
    <xf numFmtId="3" fontId="46" fillId="2" borderId="4" xfId="6" applyNumberFormat="1" applyFont="1" applyFill="1" applyBorder="1" applyAlignment="1">
      <alignment vertical="center" wrapText="1"/>
    </xf>
    <xf numFmtId="3" fontId="70" fillId="0" borderId="1" xfId="5" applyNumberFormat="1" applyFont="1" applyBorder="1" applyAlignment="1" applyProtection="1">
      <alignment vertical="center" wrapText="1"/>
      <protection locked="0"/>
    </xf>
    <xf numFmtId="3" fontId="34" fillId="2" borderId="6" xfId="6" applyNumberFormat="1" applyFont="1" applyFill="1" applyBorder="1" applyAlignment="1">
      <alignment vertical="center" wrapText="1"/>
    </xf>
    <xf numFmtId="1" fontId="69" fillId="0" borderId="27" xfId="0" applyNumberFormat="1" applyFont="1" applyBorder="1"/>
    <xf numFmtId="49" fontId="47" fillId="0" borderId="5" xfId="1" applyNumberFormat="1" applyFont="1" applyBorder="1" applyAlignment="1">
      <alignment horizontal="center" vertical="center" wrapText="1"/>
    </xf>
    <xf numFmtId="3" fontId="46" fillId="28" borderId="4" xfId="6" applyNumberFormat="1" applyFont="1" applyFill="1" applyBorder="1" applyAlignment="1">
      <alignment vertical="center" wrapText="1"/>
    </xf>
    <xf numFmtId="1" fontId="47" fillId="0" borderId="1" xfId="0" applyNumberFormat="1" applyFont="1" applyBorder="1" applyAlignment="1">
      <alignment horizontal="right" vertical="center" wrapText="1"/>
    </xf>
    <xf numFmtId="3" fontId="70" fillId="2" borderId="1" xfId="0" applyNumberFormat="1" applyFont="1" applyFill="1" applyBorder="1" applyAlignment="1" applyProtection="1">
      <alignment horizontal="right" vertical="center"/>
      <protection locked="0"/>
    </xf>
    <xf numFmtId="3" fontId="70" fillId="2" borderId="1" xfId="6" applyNumberFormat="1" applyFont="1" applyFill="1" applyBorder="1" applyAlignment="1" applyProtection="1">
      <alignment horizontal="right" vertical="center"/>
      <protection locked="0"/>
    </xf>
    <xf numFmtId="3" fontId="73" fillId="28" borderId="1" xfId="1" applyNumberFormat="1" applyFont="1" applyFill="1" applyBorder="1" applyAlignment="1">
      <alignment horizontal="right" vertical="center"/>
    </xf>
    <xf numFmtId="3" fontId="73" fillId="32" borderId="1" xfId="1" applyNumberFormat="1" applyFont="1" applyFill="1" applyBorder="1" applyAlignment="1">
      <alignment horizontal="right" vertical="center"/>
    </xf>
    <xf numFmtId="1" fontId="70" fillId="2" borderId="1" xfId="0" applyNumberFormat="1" applyFont="1" applyFill="1" applyBorder="1" applyAlignment="1" applyProtection="1">
      <alignment horizontal="right" vertical="center" wrapText="1"/>
      <protection locked="0"/>
    </xf>
    <xf numFmtId="3" fontId="70" fillId="2" borderId="1" xfId="0" applyNumberFormat="1" applyFont="1" applyFill="1" applyBorder="1" applyAlignment="1" applyProtection="1">
      <alignment horizontal="right" vertical="center" wrapText="1"/>
      <protection locked="0"/>
    </xf>
    <xf numFmtId="3" fontId="74" fillId="2" borderId="1" xfId="0" applyNumberFormat="1" applyFont="1" applyFill="1" applyBorder="1" applyAlignment="1">
      <alignment horizontal="center" vertical="center" wrapText="1"/>
    </xf>
    <xf numFmtId="166" fontId="74" fillId="2" borderId="1" xfId="12" applyNumberFormat="1" applyFont="1" applyFill="1" applyBorder="1" applyAlignment="1" applyProtection="1">
      <alignment horizontal="center" vertical="center" wrapText="1"/>
    </xf>
    <xf numFmtId="3" fontId="70" fillId="0" borderId="1" xfId="6" applyNumberFormat="1" applyFont="1" applyBorder="1" applyAlignment="1">
      <alignment horizontal="right" vertical="center" wrapText="1"/>
    </xf>
    <xf numFmtId="3" fontId="73" fillId="0" borderId="1" xfId="6" applyNumberFormat="1" applyFont="1" applyBorder="1" applyAlignment="1">
      <alignment horizontal="right" vertical="center" wrapText="1"/>
    </xf>
    <xf numFmtId="3" fontId="70" fillId="0" borderId="1" xfId="0" applyNumberFormat="1" applyFont="1" applyBorder="1" applyAlignment="1">
      <alignment horizontal="center" vertical="center" wrapText="1"/>
    </xf>
    <xf numFmtId="3" fontId="73" fillId="28" borderId="1" xfId="6" applyNumberFormat="1" applyFont="1" applyFill="1" applyBorder="1" applyAlignment="1">
      <alignment horizontal="right" vertical="center" wrapText="1"/>
    </xf>
    <xf numFmtId="3" fontId="70" fillId="0" borderId="1" xfId="6" applyNumberFormat="1" applyFont="1" applyBorder="1" applyAlignment="1" applyProtection="1">
      <alignment horizontal="right" vertical="center"/>
      <protection locked="0"/>
    </xf>
    <xf numFmtId="3" fontId="75" fillId="28" borderId="1" xfId="6" applyNumberFormat="1" applyFont="1" applyFill="1" applyBorder="1" applyAlignment="1">
      <alignment horizontal="right" vertical="center"/>
    </xf>
    <xf numFmtId="0" fontId="70" fillId="0" borderId="0" xfId="6" applyFont="1"/>
    <xf numFmtId="0" fontId="70" fillId="0" borderId="1" xfId="1" applyFont="1" applyBorder="1" applyAlignment="1">
      <alignment horizontal="center" vertical="center" wrapText="1"/>
    </xf>
    <xf numFmtId="0" fontId="70" fillId="0" borderId="1" xfId="1" applyFont="1" applyBorder="1" applyAlignment="1">
      <alignment horizontal="center" vertical="center"/>
    </xf>
    <xf numFmtId="3" fontId="73" fillId="31" borderId="1" xfId="1" applyNumberFormat="1" applyFont="1" applyFill="1" applyBorder="1" applyAlignment="1">
      <alignment horizontal="center" vertical="center" wrapText="1"/>
    </xf>
    <xf numFmtId="0" fontId="73" fillId="31" borderId="1" xfId="1" applyFont="1" applyFill="1" applyBorder="1" applyAlignment="1">
      <alignment horizontal="center" vertical="center" wrapText="1"/>
    </xf>
    <xf numFmtId="3" fontId="73" fillId="28" borderId="1" xfId="0" applyNumberFormat="1" applyFont="1" applyFill="1" applyBorder="1" applyAlignment="1" applyProtection="1">
      <alignment vertical="center" wrapText="1"/>
      <protection locked="0"/>
    </xf>
    <xf numFmtId="3" fontId="70" fillId="28" borderId="1" xfId="0" applyNumberFormat="1" applyFont="1" applyFill="1" applyBorder="1" applyAlignment="1" applyProtection="1">
      <alignment horizontal="right" vertical="center" wrapText="1"/>
      <protection locked="0"/>
    </xf>
    <xf numFmtId="3" fontId="70" fillId="28" borderId="1" xfId="7" applyNumberFormat="1" applyFont="1" applyFill="1" applyBorder="1" applyAlignment="1" applyProtection="1">
      <alignment vertical="center" wrapText="1"/>
      <protection locked="0"/>
    </xf>
    <xf numFmtId="3" fontId="70" fillId="28" borderId="1" xfId="5" applyNumberFormat="1" applyFont="1" applyFill="1" applyBorder="1" applyAlignment="1" applyProtection="1">
      <alignment vertical="center" wrapText="1"/>
      <protection locked="0"/>
    </xf>
    <xf numFmtId="3" fontId="73" fillId="2" borderId="1" xfId="0" applyNumberFormat="1" applyFont="1" applyFill="1" applyBorder="1" applyAlignment="1" applyProtection="1">
      <alignment vertical="center" wrapText="1"/>
      <protection locked="0"/>
    </xf>
    <xf numFmtId="3" fontId="73" fillId="2" borderId="1" xfId="0" applyNumberFormat="1" applyFont="1" applyFill="1" applyBorder="1" applyAlignment="1" applyProtection="1">
      <alignment horizontal="right" vertical="center" wrapText="1"/>
      <protection locked="0"/>
    </xf>
    <xf numFmtId="3" fontId="73" fillId="2" borderId="1" xfId="7" applyNumberFormat="1" applyFont="1" applyFill="1" applyBorder="1" applyAlignment="1" applyProtection="1">
      <alignment vertical="center" wrapText="1"/>
      <protection locked="0"/>
    </xf>
    <xf numFmtId="3" fontId="73" fillId="2" borderId="1" xfId="5" applyNumberFormat="1" applyFont="1" applyFill="1" applyBorder="1" applyAlignment="1" applyProtection="1">
      <alignment vertical="center" wrapText="1"/>
      <protection locked="0"/>
    </xf>
    <xf numFmtId="3" fontId="70" fillId="2" borderId="1" xfId="0" applyNumberFormat="1" applyFont="1" applyFill="1" applyBorder="1" applyAlignment="1" applyProtection="1">
      <alignment vertical="center" wrapText="1"/>
      <protection locked="0"/>
    </xf>
    <xf numFmtId="3" fontId="70" fillId="2" borderId="1" xfId="7" applyNumberFormat="1" applyFont="1" applyFill="1" applyBorder="1" applyAlignment="1" applyProtection="1">
      <alignment vertical="center" wrapText="1"/>
      <protection locked="0"/>
    </xf>
    <xf numFmtId="3" fontId="70" fillId="2" borderId="1" xfId="5" applyNumberFormat="1" applyFont="1" applyFill="1" applyBorder="1" applyAlignment="1" applyProtection="1">
      <alignment vertical="center" wrapText="1"/>
      <protection locked="0"/>
    </xf>
    <xf numFmtId="0" fontId="70" fillId="0" borderId="3" xfId="0" applyFont="1" applyBorder="1" applyAlignment="1">
      <alignment wrapText="1"/>
    </xf>
    <xf numFmtId="3" fontId="70" fillId="0" borderId="1" xfId="0" applyNumberFormat="1" applyFont="1" applyBorder="1" applyAlignment="1" applyProtection="1">
      <alignment vertical="center" wrapText="1"/>
      <protection locked="0"/>
    </xf>
    <xf numFmtId="3" fontId="70" fillId="0" borderId="1" xfId="0" applyNumberFormat="1" applyFont="1" applyBorder="1" applyAlignment="1" applyProtection="1">
      <alignment horizontal="right" vertical="center" wrapText="1"/>
      <protection locked="0"/>
    </xf>
    <xf numFmtId="3" fontId="70" fillId="0" borderId="1" xfId="7" applyNumberFormat="1" applyFont="1" applyBorder="1" applyAlignment="1" applyProtection="1">
      <alignment vertical="center" wrapText="1"/>
      <protection locked="0"/>
    </xf>
    <xf numFmtId="0" fontId="70" fillId="33" borderId="3" xfId="0" applyFont="1" applyFill="1" applyBorder="1" applyAlignment="1">
      <alignment wrapText="1"/>
    </xf>
    <xf numFmtId="3" fontId="73" fillId="0" borderId="1" xfId="7" applyNumberFormat="1" applyFont="1" applyBorder="1" applyAlignment="1" applyProtection="1">
      <alignment vertical="center" wrapText="1"/>
      <protection locked="0"/>
    </xf>
    <xf numFmtId="3" fontId="73" fillId="0" borderId="1" xfId="5" applyNumberFormat="1" applyFont="1" applyBorder="1" applyAlignment="1" applyProtection="1">
      <alignment vertical="center" wrapText="1"/>
      <protection locked="0"/>
    </xf>
    <xf numFmtId="0" fontId="70" fillId="33" borderId="1" xfId="0" applyFont="1" applyFill="1" applyBorder="1" applyAlignment="1">
      <alignment wrapText="1"/>
    </xf>
    <xf numFmtId="0" fontId="70" fillId="33" borderId="6" xfId="0" applyFont="1" applyFill="1" applyBorder="1" applyAlignment="1">
      <alignment wrapText="1"/>
    </xf>
    <xf numFmtId="3" fontId="69" fillId="2" borderId="27" xfId="5" applyNumberFormat="1" applyFont="1" applyFill="1" applyBorder="1" applyAlignment="1" applyProtection="1">
      <alignment vertical="center" wrapText="1"/>
      <protection locked="0"/>
    </xf>
    <xf numFmtId="3" fontId="69" fillId="2" borderId="1" xfId="7" applyNumberFormat="1" applyFont="1" applyFill="1" applyBorder="1" applyAlignment="1" applyProtection="1">
      <alignment vertical="center" wrapText="1"/>
      <protection locked="0"/>
    </xf>
    <xf numFmtId="3" fontId="69" fillId="2" borderId="1" xfId="5" applyNumberFormat="1" applyFont="1" applyFill="1" applyBorder="1" applyAlignment="1" applyProtection="1">
      <alignment vertical="center" wrapText="1"/>
      <protection locked="0"/>
    </xf>
    <xf numFmtId="3" fontId="70" fillId="31" borderId="1" xfId="0" applyNumberFormat="1" applyFont="1" applyFill="1" applyBorder="1" applyAlignment="1" applyProtection="1">
      <alignment vertical="center" wrapText="1"/>
      <protection locked="0"/>
    </xf>
    <xf numFmtId="3" fontId="70" fillId="31" borderId="1" xfId="7" applyNumberFormat="1" applyFont="1" applyFill="1" applyBorder="1" applyAlignment="1" applyProtection="1">
      <alignment vertical="center" wrapText="1"/>
      <protection locked="0"/>
    </xf>
    <xf numFmtId="3" fontId="70" fillId="31" borderId="1" xfId="5" applyNumberFormat="1" applyFont="1" applyFill="1" applyBorder="1" applyAlignment="1" applyProtection="1">
      <alignment vertical="center" wrapText="1"/>
      <protection locked="0"/>
    </xf>
    <xf numFmtId="3" fontId="73" fillId="28" borderId="1" xfId="1" applyNumberFormat="1" applyFont="1" applyFill="1" applyBorder="1" applyAlignment="1">
      <alignment vertical="center" wrapText="1"/>
    </xf>
    <xf numFmtId="3" fontId="73" fillId="28" borderId="4" xfId="1" applyNumberFormat="1" applyFont="1" applyFill="1" applyBorder="1" applyAlignment="1">
      <alignment vertical="center" wrapText="1"/>
    </xf>
    <xf numFmtId="0" fontId="70" fillId="0" borderId="27" xfId="0" applyFont="1" applyBorder="1" applyAlignment="1">
      <alignment wrapText="1"/>
    </xf>
    <xf numFmtId="3" fontId="70" fillId="0" borderId="6" xfId="1" applyNumberFormat="1" applyFont="1" applyBorder="1" applyAlignment="1">
      <alignment vertical="center" wrapText="1"/>
    </xf>
    <xf numFmtId="0" fontId="70" fillId="0" borderId="6" xfId="0" applyFont="1" applyBorder="1" applyAlignment="1">
      <alignment wrapText="1"/>
    </xf>
    <xf numFmtId="3" fontId="70" fillId="0" borderId="1" xfId="1" applyNumberFormat="1" applyFont="1" applyBorder="1" applyAlignment="1">
      <alignment vertical="center" wrapText="1"/>
    </xf>
    <xf numFmtId="0" fontId="70" fillId="0" borderId="2" xfId="0" applyFont="1" applyBorder="1" applyAlignment="1">
      <alignment wrapText="1"/>
    </xf>
    <xf numFmtId="3" fontId="73" fillId="0" borderId="1" xfId="1" applyNumberFormat="1" applyFont="1" applyBorder="1" applyAlignment="1">
      <alignment vertical="center" wrapText="1"/>
    </xf>
    <xf numFmtId="0" fontId="70" fillId="0" borderId="0" xfId="1" applyFont="1" applyAlignment="1">
      <alignment vertical="center"/>
    </xf>
    <xf numFmtId="0" fontId="69" fillId="0" borderId="29" xfId="0" applyFont="1" applyBorder="1"/>
    <xf numFmtId="0" fontId="76" fillId="0" borderId="30" xfId="0" applyFont="1" applyBorder="1"/>
    <xf numFmtId="3" fontId="70" fillId="0" borderId="2" xfId="0" applyNumberFormat="1" applyFont="1" applyBorder="1"/>
    <xf numFmtId="3" fontId="73" fillId="2" borderId="4" xfId="0" applyNumberFormat="1" applyFont="1" applyFill="1" applyBorder="1" applyAlignment="1" applyProtection="1">
      <alignment vertical="center" wrapText="1"/>
      <protection locked="0"/>
    </xf>
    <xf numFmtId="3" fontId="70" fillId="0" borderId="3" xfId="0" applyNumberFormat="1" applyFont="1" applyBorder="1"/>
    <xf numFmtId="3" fontId="69" fillId="0" borderId="27" xfId="0" applyNumberFormat="1" applyFont="1" applyBorder="1"/>
    <xf numFmtId="3" fontId="70" fillId="0" borderId="1" xfId="0" applyNumberFormat="1" applyFont="1" applyBorder="1"/>
    <xf numFmtId="3" fontId="70" fillId="0" borderId="3" xfId="0" applyNumberFormat="1" applyFont="1" applyBorder="1" applyAlignment="1">
      <alignment wrapText="1"/>
    </xf>
    <xf numFmtId="3" fontId="70" fillId="33" borderId="3" xfId="0" applyNumberFormat="1" applyFont="1" applyFill="1" applyBorder="1" applyAlignment="1">
      <alignment wrapText="1"/>
    </xf>
    <xf numFmtId="0" fontId="47" fillId="33" borderId="5" xfId="0" applyFont="1" applyFill="1" applyBorder="1" applyAlignment="1">
      <alignment wrapText="1"/>
    </xf>
    <xf numFmtId="0" fontId="47" fillId="33" borderId="31" xfId="0" applyFont="1" applyFill="1" applyBorder="1" applyAlignment="1">
      <alignment wrapText="1"/>
    </xf>
    <xf numFmtId="0" fontId="47" fillId="0" borderId="27" xfId="1" applyFont="1" applyBorder="1" applyAlignment="1">
      <alignment vertical="center" wrapText="1"/>
    </xf>
    <xf numFmtId="0" fontId="70" fillId="0" borderId="11" xfId="0" applyFont="1" applyBorder="1" applyAlignment="1">
      <alignment wrapText="1"/>
    </xf>
    <xf numFmtId="0" fontId="70" fillId="0" borderId="32" xfId="0" applyFont="1" applyBorder="1" applyAlignment="1">
      <alignment wrapText="1"/>
    </xf>
    <xf numFmtId="1" fontId="70" fillId="0" borderId="2" xfId="0" applyNumberFormat="1" applyFont="1" applyBorder="1" applyAlignment="1">
      <alignment wrapText="1"/>
    </xf>
    <xf numFmtId="0" fontId="69" fillId="0" borderId="33" xfId="0" applyFont="1" applyBorder="1"/>
    <xf numFmtId="3" fontId="47" fillId="0" borderId="31" xfId="6" applyNumberFormat="1" applyFont="1" applyBorder="1" applyAlignment="1">
      <alignment vertical="center" wrapText="1"/>
    </xf>
    <xf numFmtId="3" fontId="76" fillId="0" borderId="26" xfId="0" applyNumberFormat="1" applyFont="1" applyBorder="1"/>
    <xf numFmtId="0" fontId="68" fillId="0" borderId="34" xfId="0" applyFont="1" applyBorder="1"/>
    <xf numFmtId="3" fontId="70" fillId="0" borderId="2" xfId="1" applyNumberFormat="1" applyFont="1" applyBorder="1" applyAlignment="1">
      <alignment vertical="center" wrapText="1"/>
    </xf>
    <xf numFmtId="0" fontId="48" fillId="0" borderId="1" xfId="0" applyFont="1" applyBorder="1" applyAlignment="1">
      <alignment wrapText="1"/>
    </xf>
    <xf numFmtId="3" fontId="47" fillId="0" borderId="1" xfId="0" applyNumberFormat="1" applyFont="1" applyBorder="1" applyAlignment="1" applyProtection="1">
      <alignment horizontal="left" vertical="center" wrapText="1"/>
      <protection locked="0"/>
    </xf>
    <xf numFmtId="49" fontId="47" fillId="0" borderId="1" xfId="6" applyNumberFormat="1" applyFont="1" applyBorder="1" applyAlignment="1" applyProtection="1">
      <alignment horizontal="left" vertical="center" wrapText="1"/>
      <protection locked="0"/>
    </xf>
    <xf numFmtId="3" fontId="48" fillId="0" borderId="1" xfId="0" applyNumberFormat="1" applyFont="1" applyBorder="1" applyAlignment="1">
      <alignment horizontal="center" vertical="center"/>
    </xf>
    <xf numFmtId="3" fontId="70" fillId="0" borderId="1" xfId="6" applyNumberFormat="1" applyFont="1" applyBorder="1" applyAlignment="1" applyProtection="1">
      <alignment horizontal="right" vertical="center" wrapText="1"/>
      <protection locked="0"/>
    </xf>
    <xf numFmtId="3" fontId="73" fillId="28" borderId="1" xfId="6" applyNumberFormat="1" applyFont="1" applyFill="1" applyBorder="1" applyAlignment="1">
      <alignment horizontal="right" vertical="center"/>
    </xf>
    <xf numFmtId="3" fontId="70" fillId="0" borderId="0" xfId="6" applyNumberFormat="1" applyFont="1"/>
    <xf numFmtId="0" fontId="70" fillId="0" borderId="0" xfId="6" applyFont="1" applyAlignment="1">
      <alignment horizontal="left" vertical="center" wrapText="1"/>
    </xf>
    <xf numFmtId="3" fontId="34" fillId="2" borderId="27" xfId="6" applyNumberFormat="1" applyFont="1" applyFill="1" applyBorder="1" applyAlignment="1">
      <alignment vertical="center" wrapText="1"/>
    </xf>
    <xf numFmtId="0" fontId="69" fillId="0" borderId="26" xfId="0" applyFont="1" applyBorder="1"/>
    <xf numFmtId="3" fontId="34" fillId="2" borderId="1" xfId="6" applyNumberFormat="1" applyFont="1" applyFill="1" applyBorder="1" applyAlignment="1">
      <alignment vertical="center" wrapText="1"/>
    </xf>
    <xf numFmtId="0" fontId="34" fillId="0" borderId="0" xfId="1467" applyFont="1" applyAlignment="1">
      <alignment horizontal="left" vertical="top" wrapText="1"/>
    </xf>
    <xf numFmtId="0" fontId="34" fillId="0" borderId="0" xfId="1467" applyFont="1" applyAlignment="1">
      <alignment vertical="center" wrapText="1"/>
    </xf>
    <xf numFmtId="0" fontId="47" fillId="0" borderId="0" xfId="0" applyFont="1" applyAlignment="1">
      <alignment horizontal="left" vertical="center" wrapText="1"/>
    </xf>
    <xf numFmtId="0" fontId="47" fillId="0" borderId="0" xfId="0" applyFont="1" applyAlignment="1">
      <alignment horizontal="left" vertical="top"/>
    </xf>
    <xf numFmtId="168" fontId="39" fillId="0" borderId="0" xfId="0" applyNumberFormat="1" applyFont="1" applyAlignment="1">
      <alignment vertical="center"/>
    </xf>
    <xf numFmtId="0" fontId="70" fillId="2" borderId="1" xfId="1" applyFont="1" applyFill="1" applyBorder="1" applyAlignment="1">
      <alignment horizontal="right" vertical="center"/>
    </xf>
    <xf numFmtId="3" fontId="70" fillId="2" borderId="1" xfId="6" applyNumberFormat="1" applyFont="1" applyFill="1" applyBorder="1" applyAlignment="1">
      <alignment horizontal="left" vertical="center" wrapText="1"/>
    </xf>
    <xf numFmtId="3" fontId="70" fillId="2" borderId="1" xfId="1" applyNumberFormat="1" applyFont="1" applyFill="1" applyBorder="1" applyAlignment="1" applyProtection="1">
      <alignment horizontal="right" vertical="center"/>
      <protection locked="0"/>
    </xf>
    <xf numFmtId="3" fontId="70" fillId="0" borderId="1" xfId="1" applyNumberFormat="1" applyFont="1" applyBorder="1" applyAlignment="1" applyProtection="1">
      <alignment horizontal="right" vertical="center"/>
      <protection locked="0"/>
    </xf>
    <xf numFmtId="3" fontId="74" fillId="2" borderId="1" xfId="1" applyNumberFormat="1" applyFont="1" applyFill="1" applyBorder="1" applyAlignment="1" applyProtection="1">
      <alignment horizontal="center" vertical="center"/>
      <protection locked="0"/>
    </xf>
    <xf numFmtId="9" fontId="74" fillId="2" borderId="1" xfId="12" applyFont="1" applyFill="1" applyBorder="1" applyAlignment="1" applyProtection="1">
      <alignment horizontal="center" vertical="center"/>
      <protection locked="0"/>
    </xf>
    <xf numFmtId="3" fontId="74" fillId="0" borderId="1" xfId="1" applyNumberFormat="1" applyFont="1" applyBorder="1" applyAlignment="1" applyProtection="1">
      <alignment horizontal="center" vertical="center"/>
      <protection locked="0"/>
    </xf>
    <xf numFmtId="9" fontId="74" fillId="0" borderId="1" xfId="12" applyFont="1" applyFill="1" applyBorder="1" applyAlignment="1" applyProtection="1">
      <alignment horizontal="center" vertical="center"/>
      <protection locked="0"/>
    </xf>
    <xf numFmtId="0" fontId="70" fillId="0" borderId="0" xfId="0" applyFont="1" applyAlignment="1" applyProtection="1">
      <alignment vertical="center"/>
      <protection locked="0"/>
    </xf>
    <xf numFmtId="3" fontId="46" fillId="28" borderId="35" xfId="6" applyNumberFormat="1" applyFont="1" applyFill="1" applyBorder="1" applyAlignment="1">
      <alignment horizontal="right" vertical="center" wrapText="1"/>
    </xf>
    <xf numFmtId="9" fontId="51" fillId="28" borderId="35" xfId="12" applyFont="1" applyFill="1" applyBorder="1" applyAlignment="1" applyProtection="1">
      <alignment horizontal="center" vertical="center"/>
    </xf>
    <xf numFmtId="3" fontId="46" fillId="28" borderId="36" xfId="6" applyNumberFormat="1" applyFont="1" applyFill="1" applyBorder="1" applyAlignment="1">
      <alignment horizontal="right" vertical="center" wrapText="1"/>
    </xf>
    <xf numFmtId="3" fontId="51" fillId="28" borderId="36" xfId="6" applyNumberFormat="1" applyFont="1" applyFill="1" applyBorder="1" applyAlignment="1">
      <alignment horizontal="center" vertical="center" wrapText="1"/>
    </xf>
    <xf numFmtId="9" fontId="51" fillId="28" borderId="36" xfId="12" applyFont="1" applyFill="1" applyBorder="1" applyAlignment="1" applyProtection="1">
      <alignment horizontal="center" vertical="center" wrapText="1"/>
    </xf>
    <xf numFmtId="49" fontId="46" fillId="28" borderId="37" xfId="6" applyNumberFormat="1" applyFont="1" applyFill="1" applyBorder="1" applyAlignment="1">
      <alignment horizontal="left" vertical="center" wrapText="1"/>
    </xf>
    <xf numFmtId="3" fontId="47" fillId="0" borderId="6" xfId="6" applyNumberFormat="1" applyFont="1" applyBorder="1" applyAlignment="1" applyProtection="1">
      <alignment horizontal="right" vertical="center"/>
      <protection locked="0"/>
    </xf>
    <xf numFmtId="3" fontId="48" fillId="0" borderId="6" xfId="6" applyNumberFormat="1" applyFont="1" applyBorder="1" applyAlignment="1" applyProtection="1">
      <alignment horizontal="center" vertical="center"/>
      <protection locked="0"/>
    </xf>
    <xf numFmtId="9" fontId="48" fillId="0" borderId="6" xfId="12" applyFont="1" applyFill="1" applyBorder="1" applyAlignment="1" applyProtection="1">
      <alignment horizontal="center" vertical="center"/>
      <protection locked="0"/>
    </xf>
    <xf numFmtId="49" fontId="46" fillId="0" borderId="6" xfId="6" applyNumberFormat="1" applyFont="1" applyBorder="1" applyAlignment="1" applyProtection="1">
      <alignment horizontal="left" vertical="center"/>
      <protection locked="0"/>
    </xf>
    <xf numFmtId="0" fontId="46" fillId="34" borderId="6" xfId="0" applyFont="1" applyFill="1" applyBorder="1"/>
    <xf numFmtId="0" fontId="46" fillId="35" borderId="6" xfId="0" applyFont="1" applyFill="1" applyBorder="1"/>
    <xf numFmtId="0" fontId="47" fillId="33" borderId="6" xfId="0" applyFont="1" applyFill="1" applyBorder="1"/>
    <xf numFmtId="0" fontId="47" fillId="0" borderId="2" xfId="0" applyFont="1" applyBorder="1" applyAlignment="1">
      <alignment wrapText="1"/>
    </xf>
    <xf numFmtId="0" fontId="47" fillId="0" borderId="6" xfId="0" applyFont="1" applyBorder="1"/>
    <xf numFmtId="0" fontId="47" fillId="0" borderId="0" xfId="0" applyFont="1"/>
    <xf numFmtId="0" fontId="47" fillId="0" borderId="0" xfId="0" applyFont="1" applyAlignment="1">
      <alignment wrapText="1"/>
    </xf>
    <xf numFmtId="0" fontId="47" fillId="0" borderId="1" xfId="0" applyFont="1" applyBorder="1" applyAlignment="1">
      <alignment horizontal="center" wrapText="1"/>
    </xf>
    <xf numFmtId="0" fontId="47" fillId="0" borderId="6" xfId="0" applyFont="1" applyBorder="1" applyAlignment="1">
      <alignment horizontal="center" wrapText="1"/>
    </xf>
    <xf numFmtId="49" fontId="34" fillId="0" borderId="1" xfId="1467" applyNumberFormat="1" applyFont="1" applyBorder="1" applyAlignment="1">
      <alignment horizontal="center" vertical="center"/>
    </xf>
    <xf numFmtId="1" fontId="47" fillId="0" borderId="2" xfId="0" applyNumberFormat="1" applyFont="1" applyBorder="1" applyAlignment="1">
      <alignment wrapText="1"/>
    </xf>
    <xf numFmtId="0" fontId="46" fillId="35" borderId="6" xfId="0" applyFont="1" applyFill="1" applyBorder="1" applyAlignment="1">
      <alignment horizontal="right" wrapText="1"/>
    </xf>
    <xf numFmtId="3" fontId="51" fillId="28" borderId="1" xfId="6" applyNumberFormat="1" applyFont="1" applyFill="1" applyBorder="1" applyAlignment="1">
      <alignment horizontal="right" vertical="center" wrapText="1"/>
    </xf>
    <xf numFmtId="9" fontId="51" fillId="28" borderId="1" xfId="12" applyFont="1" applyFill="1" applyBorder="1" applyAlignment="1" applyProtection="1">
      <alignment horizontal="right" vertical="center" wrapText="1"/>
    </xf>
    <xf numFmtId="49" fontId="51" fillId="28" borderId="1" xfId="12" applyNumberFormat="1" applyFont="1" applyFill="1" applyBorder="1" applyAlignment="1" applyProtection="1">
      <alignment horizontal="right" vertical="center" wrapText="1"/>
    </xf>
    <xf numFmtId="0" fontId="47" fillId="33" borderId="6" xfId="0" applyFont="1" applyFill="1" applyBorder="1" applyAlignment="1">
      <alignment horizontal="right"/>
    </xf>
    <xf numFmtId="3" fontId="48" fillId="2" borderId="1" xfId="0" applyNumberFormat="1" applyFont="1" applyFill="1" applyBorder="1" applyAlignment="1" applyProtection="1">
      <alignment horizontal="right" vertical="center"/>
      <protection locked="0"/>
    </xf>
    <xf numFmtId="9" fontId="48" fillId="2" borderId="1" xfId="12" applyFont="1" applyFill="1" applyBorder="1" applyAlignment="1" applyProtection="1">
      <alignment horizontal="right" vertical="center"/>
    </xf>
    <xf numFmtId="49" fontId="48" fillId="2" borderId="1" xfId="12" applyNumberFormat="1" applyFont="1" applyFill="1" applyBorder="1" applyAlignment="1" applyProtection="1">
      <alignment horizontal="right" vertical="center"/>
    </xf>
    <xf numFmtId="3" fontId="48" fillId="2" borderId="1" xfId="6" applyNumberFormat="1" applyFont="1" applyFill="1" applyBorder="1" applyAlignment="1" applyProtection="1">
      <alignment horizontal="right" vertical="center"/>
      <protection locked="0"/>
    </xf>
    <xf numFmtId="0" fontId="46" fillId="35" borderId="1" xfId="0" applyFont="1" applyFill="1" applyBorder="1" applyAlignment="1">
      <alignment horizontal="right" wrapText="1"/>
    </xf>
    <xf numFmtId="0" fontId="47" fillId="0" borderId="6" xfId="0" applyFont="1" applyBorder="1" applyAlignment="1">
      <alignment horizontal="right"/>
    </xf>
    <xf numFmtId="0" fontId="47" fillId="0" borderId="6" xfId="0" applyFont="1" applyBorder="1" applyAlignment="1">
      <alignment horizontal="right" wrapText="1"/>
    </xf>
    <xf numFmtId="0" fontId="47" fillId="0" borderId="1" xfId="0" applyFont="1" applyBorder="1" applyAlignment="1">
      <alignment horizontal="right" wrapText="1"/>
    </xf>
    <xf numFmtId="3" fontId="48" fillId="0" borderId="1" xfId="6" applyNumberFormat="1" applyFont="1" applyBorder="1" applyAlignment="1" applyProtection="1">
      <alignment horizontal="right" vertical="center"/>
      <protection locked="0"/>
    </xf>
    <xf numFmtId="9" fontId="48" fillId="0" borderId="1" xfId="12" applyFont="1" applyFill="1" applyBorder="1" applyAlignment="1" applyProtection="1">
      <alignment horizontal="right" vertical="center"/>
    </xf>
    <xf numFmtId="49" fontId="48" fillId="0" borderId="1" xfId="12" applyNumberFormat="1" applyFont="1" applyFill="1" applyBorder="1" applyAlignment="1" applyProtection="1">
      <alignment horizontal="right" vertical="center"/>
    </xf>
    <xf numFmtId="49" fontId="48" fillId="0" borderId="1" xfId="12" applyNumberFormat="1" applyFont="1" applyFill="1" applyBorder="1" applyAlignment="1" applyProtection="1">
      <alignment horizontal="right" vertical="center" wrapText="1"/>
    </xf>
    <xf numFmtId="49" fontId="47" fillId="0" borderId="1" xfId="0" applyNumberFormat="1" applyFont="1" applyBorder="1" applyAlignment="1">
      <alignment horizontal="right" vertical="center"/>
    </xf>
    <xf numFmtId="1" fontId="47" fillId="0" borderId="6" xfId="0" applyNumberFormat="1" applyFont="1" applyBorder="1" applyAlignment="1">
      <alignment horizontal="right"/>
    </xf>
    <xf numFmtId="49" fontId="48" fillId="36" borderId="1" xfId="12" applyNumberFormat="1" applyFont="1" applyFill="1" applyBorder="1" applyAlignment="1" applyProtection="1">
      <alignment horizontal="left" vertical="center"/>
    </xf>
    <xf numFmtId="0" fontId="78" fillId="0" borderId="0" xfId="0" applyFont="1"/>
    <xf numFmtId="0" fontId="77" fillId="37" borderId="39" xfId="0" applyFont="1" applyFill="1" applyBorder="1"/>
    <xf numFmtId="0" fontId="77" fillId="0" borderId="0" xfId="0" applyFont="1"/>
    <xf numFmtId="169" fontId="39" fillId="0" borderId="0" xfId="0" applyNumberFormat="1" applyFont="1" applyAlignment="1">
      <alignment vertical="center"/>
    </xf>
    <xf numFmtId="168" fontId="69" fillId="0" borderId="1" xfId="0" applyNumberFormat="1" applyFont="1" applyBorder="1" applyAlignment="1">
      <alignment horizontal="center" vertical="center" wrapText="1"/>
    </xf>
    <xf numFmtId="3" fontId="69" fillId="0" borderId="1" xfId="1467" applyNumberFormat="1" applyFont="1" applyBorder="1" applyAlignment="1" applyProtection="1">
      <alignment horizontal="center" vertical="center"/>
      <protection locked="0"/>
    </xf>
    <xf numFmtId="3" fontId="69" fillId="0" borderId="1" xfId="0" applyNumberFormat="1" applyFont="1" applyBorder="1" applyAlignment="1">
      <alignment horizontal="center" vertical="center" wrapText="1"/>
    </xf>
    <xf numFmtId="3" fontId="75" fillId="0" borderId="1" xfId="1467" applyNumberFormat="1" applyFont="1" applyBorder="1" applyAlignment="1">
      <alignment horizontal="center" vertical="center"/>
    </xf>
    <xf numFmtId="3" fontId="69" fillId="0" borderId="0" xfId="1467" applyNumberFormat="1" applyFont="1" applyAlignment="1">
      <alignment horizontal="center" vertical="center"/>
    </xf>
    <xf numFmtId="168" fontId="69" fillId="0" borderId="0" xfId="1467" applyNumberFormat="1" applyFont="1" applyAlignment="1">
      <alignment horizontal="right" vertical="center"/>
    </xf>
    <xf numFmtId="0" fontId="79" fillId="0" borderId="0" xfId="1467" applyFont="1" applyAlignment="1">
      <alignment vertical="center"/>
    </xf>
    <xf numFmtId="0" fontId="80" fillId="0" borderId="0" xfId="1467" applyFont="1" applyAlignment="1" applyProtection="1">
      <alignment vertical="center"/>
      <protection locked="0"/>
    </xf>
    <xf numFmtId="0" fontId="79" fillId="0" borderId="0" xfId="0" applyFont="1" applyAlignment="1">
      <alignment vertical="center"/>
    </xf>
    <xf numFmtId="3" fontId="57" fillId="29" borderId="1" xfId="1467" applyNumberFormat="1" applyFont="1" applyFill="1" applyBorder="1" applyAlignment="1">
      <alignment horizontal="center" vertical="center"/>
    </xf>
    <xf numFmtId="3" fontId="75" fillId="29" borderId="1" xfId="1467" applyNumberFormat="1" applyFont="1" applyFill="1" applyBorder="1" applyAlignment="1">
      <alignment horizontal="center" vertical="center"/>
    </xf>
    <xf numFmtId="3" fontId="59" fillId="29" borderId="1" xfId="1467" applyNumberFormat="1" applyFont="1" applyFill="1" applyBorder="1" applyAlignment="1">
      <alignment horizontal="center" vertical="center"/>
    </xf>
    <xf numFmtId="9" fontId="59" fillId="29" borderId="1" xfId="12" applyFont="1" applyFill="1" applyBorder="1" applyAlignment="1" applyProtection="1">
      <alignment horizontal="center" vertical="center"/>
    </xf>
    <xf numFmtId="49" fontId="34" fillId="29" borderId="1" xfId="1467" applyNumberFormat="1" applyFont="1" applyFill="1" applyBorder="1" applyAlignment="1">
      <alignment horizontal="center" vertical="center" wrapText="1"/>
    </xf>
    <xf numFmtId="49" fontId="57" fillId="29" borderId="1" xfId="1467" applyNumberFormat="1" applyFont="1" applyFill="1" applyBorder="1" applyAlignment="1">
      <alignment horizontal="center" vertical="center"/>
    </xf>
    <xf numFmtId="0" fontId="57" fillId="29" borderId="1" xfId="1467" applyFont="1" applyFill="1" applyBorder="1" applyAlignment="1">
      <alignment horizontal="center" vertical="center"/>
    </xf>
    <xf numFmtId="0" fontId="57" fillId="29" borderId="1" xfId="1467" applyFont="1" applyFill="1" applyBorder="1" applyAlignment="1">
      <alignment vertical="center" wrapText="1"/>
    </xf>
    <xf numFmtId="3" fontId="57" fillId="29" borderId="1" xfId="1467" applyNumberFormat="1" applyFont="1" applyFill="1" applyBorder="1" applyAlignment="1" applyProtection="1">
      <alignment horizontal="center" vertical="center"/>
      <protection locked="0"/>
    </xf>
    <xf numFmtId="3" fontId="75" fillId="29" borderId="1" xfId="1467" applyNumberFormat="1" applyFont="1" applyFill="1" applyBorder="1" applyAlignment="1" applyProtection="1">
      <alignment horizontal="center" vertical="center"/>
      <protection locked="0"/>
    </xf>
    <xf numFmtId="9" fontId="58" fillId="29" borderId="1" xfId="12" applyFont="1" applyFill="1" applyBorder="1" applyAlignment="1" applyProtection="1">
      <alignment horizontal="center" vertical="center"/>
      <protection locked="0"/>
    </xf>
    <xf numFmtId="3" fontId="34" fillId="29" borderId="1" xfId="1467" applyNumberFormat="1" applyFont="1" applyFill="1" applyBorder="1" applyAlignment="1" applyProtection="1">
      <alignment horizontal="center" vertical="center"/>
      <protection locked="0"/>
    </xf>
    <xf numFmtId="3" fontId="34" fillId="29" borderId="1" xfId="1467" applyNumberFormat="1" applyFont="1" applyFill="1" applyBorder="1" applyAlignment="1">
      <alignment horizontal="center" vertical="center"/>
    </xf>
    <xf numFmtId="0" fontId="46" fillId="38" borderId="1" xfId="1" applyFont="1" applyFill="1" applyBorder="1" applyAlignment="1">
      <alignment horizontal="center" vertical="center"/>
    </xf>
    <xf numFmtId="3" fontId="46" fillId="38" borderId="1" xfId="6" applyNumberFormat="1" applyFont="1" applyFill="1" applyBorder="1" applyAlignment="1">
      <alignment horizontal="left" vertical="center" wrapText="1"/>
    </xf>
    <xf numFmtId="0" fontId="46" fillId="38" borderId="1" xfId="1" applyFont="1" applyFill="1" applyBorder="1" applyAlignment="1">
      <alignment horizontal="left" vertical="center"/>
    </xf>
    <xf numFmtId="3" fontId="73" fillId="38" borderId="1" xfId="1" applyNumberFormat="1" applyFont="1" applyFill="1" applyBorder="1" applyAlignment="1">
      <alignment horizontal="right" vertical="center"/>
    </xf>
    <xf numFmtId="0" fontId="46" fillId="32" borderId="1" xfId="1" applyFont="1" applyFill="1" applyBorder="1" applyAlignment="1">
      <alignment horizontal="left" vertical="center"/>
    </xf>
    <xf numFmtId="3" fontId="46" fillId="32" borderId="1" xfId="6" applyNumberFormat="1" applyFont="1" applyFill="1" applyBorder="1" applyAlignment="1">
      <alignment horizontal="left" vertical="center" wrapText="1"/>
    </xf>
    <xf numFmtId="3" fontId="74" fillId="3" borderId="1" xfId="0" applyNumberFormat="1" applyFont="1" applyFill="1" applyBorder="1" applyAlignment="1">
      <alignment horizontal="center" vertical="center" wrapText="1"/>
    </xf>
    <xf numFmtId="166" fontId="74" fillId="3" borderId="1" xfId="12" applyNumberFormat="1" applyFont="1" applyFill="1" applyBorder="1" applyAlignment="1" applyProtection="1">
      <alignment horizontal="center" vertical="center" wrapText="1"/>
    </xf>
    <xf numFmtId="0" fontId="70" fillId="0" borderId="0" xfId="0" applyFont="1" applyAlignment="1">
      <alignment vertical="center"/>
    </xf>
    <xf numFmtId="3" fontId="74" fillId="3" borderId="1" xfId="12" applyNumberFormat="1" applyFont="1" applyFill="1" applyBorder="1" applyAlignment="1" applyProtection="1">
      <alignment horizontal="center" vertical="center" wrapText="1"/>
    </xf>
    <xf numFmtId="3" fontId="82" fillId="38" borderId="1" xfId="1" applyNumberFormat="1" applyFont="1" applyFill="1" applyBorder="1" applyAlignment="1">
      <alignment horizontal="center" vertical="center"/>
    </xf>
    <xf numFmtId="9" fontId="82" fillId="38" borderId="1" xfId="12" applyFont="1" applyFill="1" applyBorder="1" applyAlignment="1" applyProtection="1">
      <alignment horizontal="center" vertical="center"/>
    </xf>
    <xf numFmtId="49" fontId="73" fillId="38" borderId="25" xfId="1" applyNumberFormat="1" applyFont="1" applyFill="1" applyBorder="1" applyAlignment="1">
      <alignment horizontal="left" vertical="center"/>
    </xf>
    <xf numFmtId="49" fontId="70" fillId="38" borderId="25" xfId="1" applyNumberFormat="1" applyFont="1" applyFill="1" applyBorder="1" applyAlignment="1">
      <alignment horizontal="left" vertical="center"/>
    </xf>
    <xf numFmtId="3" fontId="73" fillId="31" borderId="1" xfId="1" applyNumberFormat="1" applyFont="1" applyFill="1" applyBorder="1" applyAlignment="1">
      <alignment horizontal="right" vertical="center"/>
    </xf>
    <xf numFmtId="3" fontId="82" fillId="31" borderId="1" xfId="1" applyNumberFormat="1" applyFont="1" applyFill="1" applyBorder="1" applyAlignment="1">
      <alignment horizontal="center" vertical="center"/>
    </xf>
    <xf numFmtId="9" fontId="82" fillId="31" borderId="1" xfId="12" applyFont="1" applyFill="1" applyBorder="1" applyAlignment="1" applyProtection="1">
      <alignment horizontal="center" vertical="center"/>
    </xf>
    <xf numFmtId="49" fontId="73" fillId="31" borderId="25" xfId="1" applyNumberFormat="1" applyFont="1" applyFill="1" applyBorder="1" applyAlignment="1">
      <alignment horizontal="left" vertical="center"/>
    </xf>
    <xf numFmtId="3" fontId="82" fillId="28" borderId="1" xfId="1" applyNumberFormat="1" applyFont="1" applyFill="1" applyBorder="1" applyAlignment="1">
      <alignment horizontal="center" vertical="center"/>
    </xf>
    <xf numFmtId="9" fontId="82" fillId="28" borderId="1" xfId="12" applyFont="1" applyFill="1" applyBorder="1" applyAlignment="1" applyProtection="1">
      <alignment horizontal="center" vertical="center"/>
    </xf>
    <xf numFmtId="3" fontId="74" fillId="28" borderId="1" xfId="1" applyNumberFormat="1" applyFont="1" applyFill="1" applyBorder="1" applyAlignment="1" applyProtection="1">
      <alignment horizontal="center" vertical="center"/>
      <protection locked="0"/>
    </xf>
    <xf numFmtId="49" fontId="70" fillId="0" borderId="4" xfId="1" applyNumberFormat="1" applyFont="1" applyBorder="1" applyAlignment="1">
      <alignment horizontal="center" vertical="center" wrapText="1"/>
    </xf>
    <xf numFmtId="49" fontId="73" fillId="0" borderId="1" xfId="1" applyNumberFormat="1" applyFont="1" applyBorder="1" applyAlignment="1">
      <alignment vertical="center"/>
    </xf>
    <xf numFmtId="3" fontId="70" fillId="0" borderId="1" xfId="14" applyNumberFormat="1" applyFont="1" applyFill="1" applyBorder="1" applyAlignment="1" applyProtection="1">
      <alignment horizontal="right" vertical="center"/>
      <protection locked="0"/>
    </xf>
    <xf numFmtId="0" fontId="70" fillId="0" borderId="1" xfId="0" applyFont="1" applyBorder="1" applyAlignment="1" applyProtection="1">
      <alignment vertical="center" wrapText="1"/>
      <protection locked="0"/>
    </xf>
    <xf numFmtId="0" fontId="70" fillId="0" borderId="0" xfId="0" applyFont="1" applyAlignment="1" applyProtection="1">
      <alignment vertical="center" wrapText="1"/>
      <protection locked="0"/>
    </xf>
    <xf numFmtId="9" fontId="82" fillId="28" borderId="5" xfId="12" applyFont="1" applyFill="1" applyBorder="1" applyAlignment="1" applyProtection="1">
      <alignment horizontal="center" vertical="center"/>
    </xf>
    <xf numFmtId="3" fontId="73" fillId="28" borderId="3" xfId="1" applyNumberFormat="1" applyFont="1" applyFill="1" applyBorder="1" applyAlignment="1">
      <alignment horizontal="right" vertical="center"/>
    </xf>
    <xf numFmtId="49" fontId="70" fillId="28" borderId="1" xfId="1" applyNumberFormat="1" applyFont="1" applyFill="1" applyBorder="1" applyAlignment="1">
      <alignment horizontal="center" vertical="center"/>
    </xf>
    <xf numFmtId="49" fontId="73" fillId="28" borderId="1" xfId="1" applyNumberFormat="1" applyFont="1" applyFill="1" applyBorder="1" applyAlignment="1">
      <alignment horizontal="center" vertical="center"/>
    </xf>
    <xf numFmtId="0" fontId="73" fillId="0" borderId="0" xfId="0" applyFont="1" applyAlignment="1">
      <alignment vertical="center"/>
    </xf>
    <xf numFmtId="0" fontId="73" fillId="0" borderId="0" xfId="0" applyFont="1" applyAlignment="1">
      <alignment vertical="center" wrapText="1"/>
    </xf>
    <xf numFmtId="3" fontId="73" fillId="28" borderId="1" xfId="1" applyNumberFormat="1" applyFont="1" applyFill="1" applyBorder="1" applyAlignment="1" applyProtection="1">
      <alignment horizontal="right" vertical="center"/>
      <protection locked="0"/>
    </xf>
    <xf numFmtId="3" fontId="73" fillId="28" borderId="3" xfId="1" applyNumberFormat="1" applyFont="1" applyFill="1" applyBorder="1" applyAlignment="1" applyProtection="1">
      <alignment horizontal="right" vertical="center"/>
      <protection locked="0"/>
    </xf>
    <xf numFmtId="0" fontId="73" fillId="0" borderId="0" xfId="0" applyFont="1" applyAlignment="1" applyProtection="1">
      <alignment vertical="center"/>
      <protection locked="0"/>
    </xf>
    <xf numFmtId="0" fontId="73" fillId="0" borderId="0" xfId="0" applyFont="1" applyAlignment="1" applyProtection="1">
      <alignment vertical="center" wrapText="1"/>
      <protection locked="0"/>
    </xf>
    <xf numFmtId="49" fontId="70" fillId="28" borderId="6" xfId="1" applyNumberFormat="1" applyFont="1" applyFill="1" applyBorder="1" applyAlignment="1">
      <alignment horizontal="center" vertical="center"/>
    </xf>
    <xf numFmtId="49" fontId="70" fillId="0" borderId="6" xfId="1" applyNumberFormat="1" applyFont="1" applyBorder="1" applyAlignment="1">
      <alignment horizontal="center" vertical="center" wrapText="1"/>
    </xf>
    <xf numFmtId="9" fontId="74" fillId="28" borderId="1" xfId="12" applyFont="1" applyFill="1" applyBorder="1" applyAlignment="1" applyProtection="1">
      <alignment horizontal="center" vertical="center"/>
      <protection locked="0"/>
    </xf>
    <xf numFmtId="49" fontId="70" fillId="0" borderId="1" xfId="1" applyNumberFormat="1" applyFont="1" applyBorder="1" applyAlignment="1">
      <alignment horizontal="center" vertical="center" wrapText="1"/>
    </xf>
    <xf numFmtId="49" fontId="73" fillId="0" borderId="1" xfId="1" applyNumberFormat="1" applyFont="1" applyBorder="1" applyAlignment="1">
      <alignment horizontal="center" vertical="center" wrapText="1"/>
    </xf>
    <xf numFmtId="49" fontId="70" fillId="0" borderId="1" xfId="1" applyNumberFormat="1" applyFont="1" applyBorder="1" applyAlignment="1">
      <alignment horizontal="left" vertical="center" wrapText="1"/>
    </xf>
    <xf numFmtId="49" fontId="70" fillId="0" borderId="1" xfId="1" applyNumberFormat="1" applyFont="1" applyBorder="1" applyAlignment="1">
      <alignment horizontal="center" vertical="center"/>
    </xf>
    <xf numFmtId="49" fontId="73" fillId="0" borderId="1" xfId="1" applyNumberFormat="1" applyFont="1" applyBorder="1" applyAlignment="1">
      <alignment horizontal="center" vertical="center"/>
    </xf>
    <xf numFmtId="3" fontId="82" fillId="28" borderId="1" xfId="1" applyNumberFormat="1" applyFont="1" applyFill="1" applyBorder="1" applyAlignment="1" applyProtection="1">
      <alignment horizontal="center" vertical="center"/>
      <protection locked="0"/>
    </xf>
    <xf numFmtId="9" fontId="82" fillId="28" borderId="1" xfId="12" applyFont="1" applyFill="1" applyBorder="1" applyAlignment="1" applyProtection="1">
      <alignment horizontal="center" vertical="center"/>
      <protection locked="0"/>
    </xf>
    <xf numFmtId="49" fontId="70" fillId="28" borderId="1" xfId="1" applyNumberFormat="1" applyFont="1" applyFill="1" applyBorder="1" applyAlignment="1">
      <alignment horizontal="left" vertical="center" wrapText="1"/>
    </xf>
    <xf numFmtId="3" fontId="70" fillId="38" borderId="1" xfId="1" applyNumberFormat="1" applyFont="1" applyFill="1" applyBorder="1" applyAlignment="1">
      <alignment horizontal="right" vertical="center"/>
    </xf>
    <xf numFmtId="3" fontId="74" fillId="38" borderId="1" xfId="1" applyNumberFormat="1" applyFont="1" applyFill="1" applyBorder="1" applyAlignment="1">
      <alignment horizontal="center" vertical="center"/>
    </xf>
    <xf numFmtId="9" fontId="74" fillId="38" borderId="1" xfId="12" applyFont="1" applyFill="1" applyBorder="1" applyAlignment="1" applyProtection="1">
      <alignment horizontal="center" vertical="center"/>
    </xf>
    <xf numFmtId="3" fontId="73" fillId="30" borderId="1" xfId="1" applyNumberFormat="1" applyFont="1" applyFill="1" applyBorder="1" applyAlignment="1">
      <alignment horizontal="right" vertical="center"/>
    </xf>
    <xf numFmtId="3" fontId="82" fillId="30" borderId="1" xfId="1" applyNumberFormat="1" applyFont="1" applyFill="1" applyBorder="1" applyAlignment="1">
      <alignment horizontal="center" vertical="center"/>
    </xf>
    <xf numFmtId="9" fontId="82" fillId="30" borderId="1" xfId="12" applyFont="1" applyFill="1" applyBorder="1" applyAlignment="1" applyProtection="1">
      <alignment horizontal="center" vertical="center"/>
    </xf>
    <xf numFmtId="49" fontId="73" fillId="30" borderId="25" xfId="1" applyNumberFormat="1" applyFont="1" applyFill="1" applyBorder="1" applyAlignment="1">
      <alignment horizontal="left" vertical="center"/>
    </xf>
    <xf numFmtId="3" fontId="82" fillId="32" borderId="1" xfId="1" applyNumberFormat="1" applyFont="1" applyFill="1" applyBorder="1" applyAlignment="1">
      <alignment horizontal="center" vertical="center"/>
    </xf>
    <xf numFmtId="9" fontId="82" fillId="32" borderId="1" xfId="12" applyFont="1" applyFill="1" applyBorder="1" applyAlignment="1" applyProtection="1">
      <alignment horizontal="center" vertical="center"/>
    </xf>
    <xf numFmtId="49" fontId="73" fillId="32" borderId="1" xfId="1" applyNumberFormat="1" applyFont="1" applyFill="1" applyBorder="1" applyAlignment="1">
      <alignment vertical="center"/>
    </xf>
    <xf numFmtId="49" fontId="70" fillId="32" borderId="1" xfId="1" applyNumberFormat="1" applyFont="1" applyFill="1" applyBorder="1" applyAlignment="1">
      <alignment vertical="center"/>
    </xf>
    <xf numFmtId="49" fontId="73" fillId="31" borderId="1" xfId="1" applyNumberFormat="1" applyFont="1" applyFill="1" applyBorder="1" applyAlignment="1">
      <alignment vertical="center"/>
    </xf>
    <xf numFmtId="49" fontId="73" fillId="28" borderId="1" xfId="1" applyNumberFormat="1" applyFont="1" applyFill="1" applyBorder="1" applyAlignment="1">
      <alignment vertical="center"/>
    </xf>
    <xf numFmtId="49" fontId="70" fillId="28" borderId="1" xfId="1" applyNumberFormat="1" applyFont="1" applyFill="1" applyBorder="1" applyAlignment="1">
      <alignment vertical="center"/>
    </xf>
    <xf numFmtId="49" fontId="73" fillId="28" borderId="4" xfId="1" applyNumberFormat="1" applyFont="1" applyFill="1" applyBorder="1" applyAlignment="1">
      <alignment vertical="center"/>
    </xf>
    <xf numFmtId="49" fontId="70" fillId="28" borderId="4" xfId="1" applyNumberFormat="1" applyFont="1" applyFill="1" applyBorder="1" applyAlignment="1">
      <alignment vertical="center"/>
    </xf>
    <xf numFmtId="3" fontId="74" fillId="28" borderId="1" xfId="1" applyNumberFormat="1" applyFont="1" applyFill="1" applyBorder="1" applyAlignment="1">
      <alignment horizontal="center" vertical="center"/>
    </xf>
    <xf numFmtId="9" fontId="74" fillId="28" borderId="1" xfId="12" applyFont="1" applyFill="1" applyBorder="1" applyAlignment="1" applyProtection="1">
      <alignment horizontal="center" vertical="center"/>
    </xf>
    <xf numFmtId="0" fontId="70" fillId="0" borderId="4" xfId="0" applyFont="1" applyBorder="1" applyAlignment="1">
      <alignment wrapText="1"/>
    </xf>
    <xf numFmtId="3" fontId="70" fillId="28" borderId="1" xfId="1" applyNumberFormat="1" applyFont="1" applyFill="1" applyBorder="1" applyAlignment="1">
      <alignment horizontal="right" vertical="center"/>
    </xf>
    <xf numFmtId="0" fontId="70" fillId="0" borderId="28" xfId="0" applyFont="1" applyBorder="1" applyAlignment="1">
      <alignment wrapText="1"/>
    </xf>
    <xf numFmtId="3" fontId="73" fillId="38" borderId="1" xfId="1" applyNumberFormat="1" applyFont="1" applyFill="1" applyBorder="1" applyAlignment="1" applyProtection="1">
      <alignment horizontal="right" vertical="center"/>
      <protection locked="0"/>
    </xf>
    <xf numFmtId="3" fontId="82" fillId="38" borderId="1" xfId="1" applyNumberFormat="1" applyFont="1" applyFill="1" applyBorder="1" applyAlignment="1" applyProtection="1">
      <alignment horizontal="center" vertical="center"/>
      <protection locked="0"/>
    </xf>
    <xf numFmtId="9" fontId="82" fillId="38" borderId="1" xfId="12" applyFont="1" applyFill="1" applyBorder="1" applyAlignment="1" applyProtection="1">
      <alignment horizontal="center" vertical="center"/>
      <protection locked="0"/>
    </xf>
    <xf numFmtId="49" fontId="73" fillId="38" borderId="4" xfId="1" applyNumberFormat="1" applyFont="1" applyFill="1" applyBorder="1" applyAlignment="1" applyProtection="1">
      <alignment horizontal="center" vertical="center"/>
      <protection locked="0"/>
    </xf>
    <xf numFmtId="49" fontId="70" fillId="38" borderId="4" xfId="1" applyNumberFormat="1" applyFont="1" applyFill="1" applyBorder="1" applyAlignment="1" applyProtection="1">
      <alignment horizontal="center" vertical="center"/>
      <protection locked="0"/>
    </xf>
    <xf numFmtId="3" fontId="73" fillId="31" borderId="1" xfId="1" applyNumberFormat="1" applyFont="1" applyFill="1" applyBorder="1" applyAlignment="1" applyProtection="1">
      <alignment horizontal="right" vertical="center"/>
      <protection locked="0"/>
    </xf>
    <xf numFmtId="3" fontId="82" fillId="31" borderId="1" xfId="1" applyNumberFormat="1" applyFont="1" applyFill="1" applyBorder="1" applyAlignment="1" applyProtection="1">
      <alignment horizontal="center" vertical="center"/>
      <protection locked="0"/>
    </xf>
    <xf numFmtId="9" fontId="82" fillId="31" borderId="1" xfId="12" applyFont="1" applyFill="1" applyBorder="1" applyAlignment="1" applyProtection="1">
      <alignment horizontal="center" vertical="center"/>
      <protection locked="0"/>
    </xf>
    <xf numFmtId="49" fontId="73" fillId="31" borderId="4" xfId="1" applyNumberFormat="1" applyFont="1" applyFill="1" applyBorder="1" applyAlignment="1" applyProtection="1">
      <alignment horizontal="center" vertical="center"/>
      <protection locked="0"/>
    </xf>
    <xf numFmtId="3" fontId="70" fillId="0" borderId="0" xfId="0" applyNumberFormat="1" applyFont="1" applyAlignment="1">
      <alignment vertical="center"/>
    </xf>
    <xf numFmtId="49" fontId="73" fillId="28" borderId="25" xfId="1" applyNumberFormat="1" applyFont="1" applyFill="1" applyBorder="1" applyAlignment="1">
      <alignment horizontal="left" vertical="center"/>
    </xf>
    <xf numFmtId="49" fontId="70" fillId="28" borderId="25" xfId="1" applyNumberFormat="1" applyFont="1" applyFill="1" applyBorder="1" applyAlignment="1">
      <alignment horizontal="left" vertical="center"/>
    </xf>
    <xf numFmtId="3" fontId="73" fillId="28" borderId="1" xfId="1" applyNumberFormat="1" applyFont="1" applyFill="1" applyBorder="1" applyAlignment="1">
      <alignment horizontal="right" vertical="center" wrapText="1"/>
    </xf>
    <xf numFmtId="3" fontId="73" fillId="0" borderId="0" xfId="1" applyNumberFormat="1" applyFont="1" applyAlignment="1">
      <alignment horizontal="right" vertical="center"/>
    </xf>
    <xf numFmtId="3" fontId="82" fillId="0" borderId="0" xfId="1" applyNumberFormat="1" applyFont="1" applyAlignment="1">
      <alignment horizontal="center" vertical="center"/>
    </xf>
    <xf numFmtId="9" fontId="82" fillId="0" borderId="0" xfId="12" applyFont="1" applyFill="1" applyBorder="1" applyAlignment="1" applyProtection="1">
      <alignment horizontal="center" vertical="center"/>
    </xf>
    <xf numFmtId="49" fontId="73" fillId="0" borderId="0" xfId="1" applyNumberFormat="1" applyFont="1" applyAlignment="1">
      <alignment horizontal="left" vertical="center"/>
    </xf>
    <xf numFmtId="49" fontId="70" fillId="0" borderId="0" xfId="1" applyNumberFormat="1" applyFont="1" applyAlignment="1">
      <alignment horizontal="left" vertical="center"/>
    </xf>
    <xf numFmtId="3" fontId="73" fillId="0" borderId="0" xfId="1" applyNumberFormat="1" applyFont="1" applyAlignment="1">
      <alignment horizontal="right" vertical="center" wrapText="1"/>
    </xf>
    <xf numFmtId="0" fontId="74" fillId="0" borderId="0" xfId="0" applyFont="1" applyAlignment="1" applyProtection="1">
      <alignment horizontal="center" vertical="center"/>
      <protection locked="0"/>
    </xf>
    <xf numFmtId="0" fontId="70" fillId="0" borderId="0" xfId="1467" applyFont="1" applyAlignment="1">
      <alignment horizontal="left" vertical="top" wrapText="1"/>
    </xf>
    <xf numFmtId="49" fontId="73" fillId="28" borderId="1" xfId="1" applyNumberFormat="1" applyFont="1" applyFill="1" applyBorder="1" applyAlignment="1">
      <alignment vertical="center" wrapText="1"/>
    </xf>
    <xf numFmtId="49" fontId="73" fillId="28" borderId="1" xfId="1" applyNumberFormat="1" applyFont="1" applyFill="1" applyBorder="1" applyAlignment="1">
      <alignment horizontal="center" vertical="center" wrapText="1"/>
    </xf>
    <xf numFmtId="3" fontId="47" fillId="36" borderId="1" xfId="0" applyNumberFormat="1" applyFont="1" applyFill="1" applyBorder="1" applyAlignment="1" applyProtection="1">
      <alignment horizontal="right" vertical="center"/>
      <protection locked="0"/>
    </xf>
    <xf numFmtId="3" fontId="51" fillId="36" borderId="1" xfId="6" applyNumberFormat="1" applyFont="1" applyFill="1" applyBorder="1" applyAlignment="1">
      <alignment horizontal="center" vertical="center" wrapText="1"/>
    </xf>
    <xf numFmtId="9" fontId="51" fillId="36" borderId="1" xfId="12" applyFont="1" applyFill="1" applyBorder="1" applyAlignment="1" applyProtection="1">
      <alignment horizontal="center" vertical="center" wrapText="1"/>
    </xf>
    <xf numFmtId="1" fontId="47" fillId="0" borderId="6" xfId="0" applyNumberFormat="1" applyFont="1" applyBorder="1"/>
    <xf numFmtId="1" fontId="47" fillId="0" borderId="1" xfId="0" applyNumberFormat="1" applyFont="1" applyBorder="1" applyAlignment="1" applyProtection="1">
      <alignment horizontal="right" vertical="center"/>
      <protection locked="0"/>
    </xf>
    <xf numFmtId="1" fontId="51" fillId="0" borderId="1" xfId="6" applyNumberFormat="1" applyFont="1" applyBorder="1" applyAlignment="1">
      <alignment horizontal="center" vertical="center" wrapText="1"/>
    </xf>
    <xf numFmtId="1" fontId="51" fillId="0" borderId="1" xfId="12" applyNumberFormat="1" applyFont="1" applyFill="1" applyBorder="1" applyAlignment="1" applyProtection="1">
      <alignment horizontal="center" vertical="center" wrapText="1"/>
    </xf>
    <xf numFmtId="1" fontId="48" fillId="0" borderId="1" xfId="12" applyNumberFormat="1" applyFont="1" applyFill="1" applyBorder="1" applyAlignment="1" applyProtection="1">
      <alignment horizontal="left" vertical="center"/>
    </xf>
    <xf numFmtId="1" fontId="48" fillId="0" borderId="1" xfId="0" applyNumberFormat="1" applyFont="1" applyBorder="1" applyAlignment="1" applyProtection="1">
      <alignment horizontal="center" vertical="center"/>
      <protection locked="0"/>
    </xf>
    <xf numFmtId="1" fontId="48" fillId="0" borderId="1" xfId="12" applyNumberFormat="1" applyFont="1" applyFill="1" applyBorder="1" applyAlignment="1" applyProtection="1">
      <alignment horizontal="center" vertical="center"/>
    </xf>
    <xf numFmtId="1" fontId="48" fillId="0" borderId="1" xfId="6" applyNumberFormat="1" applyFont="1" applyBorder="1" applyAlignment="1" applyProtection="1">
      <alignment horizontal="center" vertical="center"/>
      <protection locked="0"/>
    </xf>
    <xf numFmtId="1" fontId="47" fillId="0" borderId="1" xfId="0" applyNumberFormat="1" applyFont="1" applyBorder="1"/>
    <xf numFmtId="0" fontId="47" fillId="0" borderId="1" xfId="0" applyFont="1" applyBorder="1"/>
    <xf numFmtId="3" fontId="47" fillId="0" borderId="3" xfId="6" applyNumberFormat="1" applyFont="1" applyBorder="1" applyAlignment="1" applyProtection="1">
      <alignment horizontal="right" vertical="center" wrapText="1"/>
      <protection locked="0"/>
    </xf>
    <xf numFmtId="9" fontId="48" fillId="0" borderId="3" xfId="12" applyFont="1" applyFill="1" applyBorder="1" applyAlignment="1" applyProtection="1">
      <alignment horizontal="center" vertical="center"/>
    </xf>
    <xf numFmtId="3" fontId="47" fillId="0" borderId="3" xfId="6" applyNumberFormat="1" applyFont="1" applyBorder="1" applyAlignment="1" applyProtection="1">
      <alignment horizontal="right" vertical="center"/>
      <protection locked="0"/>
    </xf>
    <xf numFmtId="4" fontId="41" fillId="0" borderId="0" xfId="0" applyNumberFormat="1" applyFont="1" applyAlignment="1">
      <alignment vertical="center"/>
    </xf>
    <xf numFmtId="3" fontId="51" fillId="0" borderId="1" xfId="0" applyNumberFormat="1" applyFont="1" applyBorder="1" applyAlignment="1">
      <alignment horizontal="center" vertical="center" wrapText="1"/>
    </xf>
    <xf numFmtId="3" fontId="51" fillId="0" borderId="4" xfId="0" applyNumberFormat="1" applyFont="1" applyBorder="1" applyAlignment="1">
      <alignment horizontal="center" vertical="center" wrapText="1"/>
    </xf>
    <xf numFmtId="3" fontId="51" fillId="0" borderId="7" xfId="0" applyNumberFormat="1" applyFont="1" applyBorder="1" applyAlignment="1">
      <alignment horizontal="center" vertical="center" wrapText="1"/>
    </xf>
    <xf numFmtId="3" fontId="51" fillId="0" borderId="6" xfId="0" applyNumberFormat="1" applyFont="1" applyBorder="1" applyAlignment="1">
      <alignment horizontal="center" vertical="center" wrapText="1"/>
    </xf>
    <xf numFmtId="3" fontId="51" fillId="0" borderId="4" xfId="0" applyNumberFormat="1" applyFont="1" applyBorder="1" applyAlignment="1" applyProtection="1">
      <alignment horizontal="center" vertical="center" wrapText="1"/>
      <protection locked="0"/>
    </xf>
    <xf numFmtId="3" fontId="51" fillId="0" borderId="7" xfId="0" applyNumberFormat="1" applyFont="1" applyBorder="1" applyAlignment="1" applyProtection="1">
      <alignment horizontal="center" vertical="center" wrapText="1"/>
      <protection locked="0"/>
    </xf>
    <xf numFmtId="3" fontId="51" fillId="0" borderId="6" xfId="0" applyNumberFormat="1" applyFont="1" applyBorder="1" applyAlignment="1" applyProtection="1">
      <alignment horizontal="center" vertical="center" wrapText="1"/>
      <protection locked="0"/>
    </xf>
    <xf numFmtId="3" fontId="48" fillId="0" borderId="4" xfId="0" applyNumberFormat="1" applyFont="1" applyBorder="1" applyAlignment="1">
      <alignment horizontal="center" vertical="center" wrapText="1"/>
    </xf>
    <xf numFmtId="3" fontId="48" fillId="0" borderId="7" xfId="0" applyNumberFormat="1" applyFont="1" applyBorder="1" applyAlignment="1">
      <alignment horizontal="center" vertical="center" wrapText="1"/>
    </xf>
    <xf numFmtId="3" fontId="48" fillId="0" borderId="6" xfId="0" applyNumberFormat="1" applyFont="1" applyBorder="1" applyAlignment="1">
      <alignment horizontal="center" vertical="center" wrapText="1"/>
    </xf>
    <xf numFmtId="3" fontId="72" fillId="0" borderId="4" xfId="0" applyNumberFormat="1" applyFont="1" applyBorder="1" applyAlignment="1">
      <alignment horizontal="center" vertical="center" wrapText="1"/>
    </xf>
    <xf numFmtId="3" fontId="48" fillId="2" borderId="4" xfId="0" applyNumberFormat="1" applyFont="1" applyFill="1" applyBorder="1" applyAlignment="1">
      <alignment horizontal="center" vertical="center" wrapText="1"/>
    </xf>
    <xf numFmtId="3" fontId="48" fillId="2" borderId="7" xfId="0" applyNumberFormat="1" applyFont="1" applyFill="1" applyBorder="1" applyAlignment="1">
      <alignment horizontal="center" vertical="center" wrapText="1"/>
    </xf>
    <xf numFmtId="3" fontId="48" fillId="2" borderId="6" xfId="0" applyNumberFormat="1" applyFont="1" applyFill="1" applyBorder="1" applyAlignment="1">
      <alignment horizontal="center" vertical="center" wrapText="1"/>
    </xf>
    <xf numFmtId="0" fontId="58" fillId="0" borderId="4" xfId="0" applyFont="1" applyBorder="1" applyAlignment="1">
      <alignment vertical="center" wrapText="1"/>
    </xf>
    <xf numFmtId="0" fontId="58" fillId="0" borderId="7" xfId="0" applyFont="1" applyBorder="1" applyAlignment="1">
      <alignment vertical="center" wrapText="1"/>
    </xf>
    <xf numFmtId="0" fontId="58" fillId="0" borderId="28" xfId="0" applyFont="1" applyBorder="1" applyAlignment="1">
      <alignment vertical="center" wrapText="1"/>
    </xf>
    <xf numFmtId="3" fontId="71" fillId="0" borderId="4" xfId="0" applyNumberFormat="1" applyFont="1" applyBorder="1" applyAlignment="1">
      <alignment horizontal="center" vertical="center" wrapText="1"/>
    </xf>
    <xf numFmtId="3" fontId="58" fillId="0" borderId="4" xfId="0" applyNumberFormat="1" applyFont="1" applyBorder="1" applyAlignment="1">
      <alignment horizontal="center" vertical="center" wrapText="1"/>
    </xf>
    <xf numFmtId="3" fontId="58" fillId="0" borderId="7" xfId="0" applyNumberFormat="1" applyFont="1" applyBorder="1" applyAlignment="1">
      <alignment horizontal="center" vertical="center" wrapText="1"/>
    </xf>
    <xf numFmtId="3" fontId="58" fillId="0" borderId="6" xfId="0" applyNumberFormat="1" applyFont="1" applyBorder="1" applyAlignment="1">
      <alignment horizontal="center" vertical="center" wrapText="1"/>
    </xf>
    <xf numFmtId="3" fontId="51" fillId="2" borderId="4" xfId="0" applyNumberFormat="1" applyFont="1" applyFill="1" applyBorder="1" applyAlignment="1">
      <alignment horizontal="center" vertical="center" wrapText="1"/>
    </xf>
    <xf numFmtId="3" fontId="51" fillId="2" borderId="7" xfId="0" applyNumberFormat="1" applyFont="1" applyFill="1" applyBorder="1" applyAlignment="1">
      <alignment horizontal="center" vertical="center" wrapText="1"/>
    </xf>
    <xf numFmtId="3" fontId="51" fillId="2" borderId="6" xfId="0" applyNumberFormat="1" applyFont="1" applyFill="1" applyBorder="1" applyAlignment="1">
      <alignment horizontal="center" vertical="center" wrapText="1"/>
    </xf>
    <xf numFmtId="3" fontId="52" fillId="0" borderId="0" xfId="0" applyNumberFormat="1" applyFont="1" applyAlignment="1">
      <alignment horizontal="left" vertical="center"/>
    </xf>
    <xf numFmtId="3" fontId="47" fillId="0" borderId="0" xfId="0" applyNumberFormat="1" applyFont="1" applyAlignment="1">
      <alignment horizontal="left" vertical="top" wrapText="1"/>
    </xf>
    <xf numFmtId="3" fontId="47" fillId="0" borderId="0" xfId="0" applyNumberFormat="1" applyFont="1" applyAlignment="1">
      <alignment horizontal="left" vertical="center" wrapText="1"/>
    </xf>
    <xf numFmtId="3" fontId="47" fillId="0" borderId="0" xfId="0" applyNumberFormat="1" applyFont="1" applyAlignment="1">
      <alignment horizontal="left" vertical="center"/>
    </xf>
    <xf numFmtId="0" fontId="34" fillId="0" borderId="0" xfId="1467" applyFont="1" applyAlignment="1">
      <alignment horizontal="left" vertical="top" wrapText="1"/>
    </xf>
    <xf numFmtId="3" fontId="61" fillId="0" borderId="0" xfId="0" applyNumberFormat="1" applyFont="1" applyAlignment="1">
      <alignment horizontal="left" vertical="center"/>
    </xf>
    <xf numFmtId="0" fontId="34" fillId="0" borderId="0" xfId="1467" applyFont="1" applyAlignment="1">
      <alignment vertical="center" wrapText="1"/>
    </xf>
    <xf numFmtId="49" fontId="70" fillId="28" borderId="4" xfId="1" applyNumberFormat="1" applyFont="1" applyFill="1" applyBorder="1" applyAlignment="1">
      <alignment horizontal="center" vertical="center" wrapText="1"/>
    </xf>
    <xf numFmtId="49" fontId="73" fillId="0" borderId="7" xfId="1" applyNumberFormat="1" applyFont="1" applyBorder="1" applyAlignment="1">
      <alignment horizontal="center" vertical="center" wrapText="1"/>
    </xf>
    <xf numFmtId="49" fontId="73" fillId="0" borderId="6" xfId="1" applyNumberFormat="1" applyFont="1" applyBorder="1" applyAlignment="1">
      <alignment horizontal="center" vertical="center" wrapText="1"/>
    </xf>
    <xf numFmtId="49" fontId="73" fillId="0" borderId="4" xfId="1" applyNumberFormat="1" applyFont="1" applyBorder="1" applyAlignment="1">
      <alignment horizontal="center" vertical="center"/>
    </xf>
    <xf numFmtId="49" fontId="73" fillId="0" borderId="7" xfId="1" applyNumberFormat="1" applyFont="1" applyBorder="1" applyAlignment="1">
      <alignment horizontal="center" vertical="center"/>
    </xf>
    <xf numFmtId="49" fontId="70" fillId="0" borderId="4" xfId="1" applyNumberFormat="1" applyFont="1" applyBorder="1" applyAlignment="1">
      <alignment horizontal="left" vertical="center" wrapText="1"/>
    </xf>
    <xf numFmtId="49" fontId="70" fillId="0" borderId="7" xfId="1" applyNumberFormat="1" applyFont="1" applyBorder="1" applyAlignment="1">
      <alignment horizontal="left" vertical="center" wrapText="1"/>
    </xf>
    <xf numFmtId="49" fontId="70" fillId="0" borderId="6" xfId="1" applyNumberFormat="1" applyFont="1" applyBorder="1" applyAlignment="1">
      <alignment horizontal="left" vertical="center" wrapText="1"/>
    </xf>
    <xf numFmtId="49" fontId="73" fillId="0" borderId="7" xfId="1" applyNumberFormat="1" applyFont="1" applyBorder="1" applyAlignment="1">
      <alignment horizontal="left" vertical="center" wrapText="1"/>
    </xf>
    <xf numFmtId="49" fontId="73" fillId="0" borderId="6" xfId="1" applyNumberFormat="1" applyFont="1" applyBorder="1" applyAlignment="1">
      <alignment horizontal="left" vertical="center" wrapText="1"/>
    </xf>
    <xf numFmtId="0" fontId="69" fillId="0" borderId="4" xfId="0" applyFont="1" applyBorder="1" applyAlignment="1">
      <alignment wrapText="1"/>
    </xf>
    <xf numFmtId="0" fontId="69" fillId="0" borderId="7" xfId="0" applyFont="1" applyBorder="1" applyAlignment="1">
      <alignment wrapText="1"/>
    </xf>
    <xf numFmtId="0" fontId="69" fillId="0" borderId="28" xfId="0" applyFont="1" applyBorder="1" applyAlignment="1">
      <alignment wrapText="1"/>
    </xf>
    <xf numFmtId="49" fontId="70" fillId="0" borderId="4" xfId="1" applyNumberFormat="1" applyFont="1" applyBorder="1" applyAlignment="1">
      <alignment horizontal="center" vertical="center"/>
    </xf>
    <xf numFmtId="49" fontId="70" fillId="0" borderId="7" xfId="1" applyNumberFormat="1" applyFont="1" applyBorder="1" applyAlignment="1">
      <alignment horizontal="center" vertical="center"/>
    </xf>
    <xf numFmtId="49" fontId="70" fillId="0" borderId="6" xfId="1" applyNumberFormat="1" applyFont="1" applyBorder="1" applyAlignment="1">
      <alignment horizontal="center" vertical="center"/>
    </xf>
    <xf numFmtId="49" fontId="73" fillId="0" borderId="6" xfId="1" applyNumberFormat="1" applyFont="1" applyBorder="1" applyAlignment="1">
      <alignment horizontal="center" vertical="center"/>
    </xf>
    <xf numFmtId="0" fontId="47" fillId="0" borderId="0" xfId="1467" applyFont="1" applyAlignment="1">
      <alignment horizontal="left" vertical="top" wrapText="1"/>
    </xf>
    <xf numFmtId="0" fontId="70" fillId="0" borderId="0" xfId="1467" applyFont="1" applyAlignment="1">
      <alignment horizontal="left" vertical="top" wrapText="1"/>
    </xf>
    <xf numFmtId="49" fontId="73" fillId="28" borderId="4" xfId="1" applyNumberFormat="1" applyFont="1" applyFill="1" applyBorder="1" applyAlignment="1">
      <alignment horizontal="center" vertical="center"/>
    </xf>
    <xf numFmtId="0" fontId="47" fillId="2" borderId="5" xfId="1" applyFont="1" applyFill="1" applyBorder="1" applyAlignment="1" applyProtection="1">
      <alignment horizontal="center" vertical="center"/>
      <protection locked="0"/>
    </xf>
    <xf numFmtId="0" fontId="47" fillId="2" borderId="11" xfId="1" applyFont="1" applyFill="1" applyBorder="1" applyAlignment="1" applyProtection="1">
      <alignment horizontal="center" vertical="center"/>
      <protection locked="0"/>
    </xf>
    <xf numFmtId="0" fontId="70" fillId="2" borderId="11" xfId="1" applyFont="1" applyFill="1" applyBorder="1" applyAlignment="1" applyProtection="1">
      <alignment horizontal="center" vertical="center"/>
      <protection locked="0"/>
    </xf>
    <xf numFmtId="0" fontId="69" fillId="28" borderId="4" xfId="0" applyFont="1" applyFill="1" applyBorder="1" applyAlignment="1">
      <alignment horizontal="left" vertical="center" wrapText="1"/>
    </xf>
    <xf numFmtId="0" fontId="69" fillId="0" borderId="7" xfId="0" applyFont="1" applyBorder="1" applyAlignment="1">
      <alignment horizontal="left" vertical="center" wrapText="1"/>
    </xf>
    <xf numFmtId="0" fontId="69" fillId="0" borderId="28" xfId="0" applyFont="1" applyBorder="1" applyAlignment="1">
      <alignment horizontal="left" vertical="center" wrapText="1"/>
    </xf>
    <xf numFmtId="0" fontId="69" fillId="28" borderId="4" xfId="0" applyFont="1" applyFill="1" applyBorder="1" applyAlignment="1">
      <alignment wrapText="1"/>
    </xf>
    <xf numFmtId="49" fontId="70" fillId="28" borderId="4" xfId="1" applyNumberFormat="1" applyFont="1" applyFill="1" applyBorder="1" applyAlignment="1">
      <alignment horizontal="center" vertical="center"/>
    </xf>
    <xf numFmtId="49" fontId="70" fillId="0" borderId="7" xfId="1" applyNumberFormat="1" applyFont="1" applyBorder="1" applyAlignment="1">
      <alignment horizontal="center" vertical="center" wrapText="1"/>
    </xf>
    <xf numFmtId="49" fontId="70" fillId="0" borderId="6" xfId="1" applyNumberFormat="1" applyFont="1" applyBorder="1" applyAlignment="1">
      <alignment horizontal="center" vertical="center" wrapText="1"/>
    </xf>
    <xf numFmtId="49" fontId="69" fillId="0" borderId="1" xfId="1" applyNumberFormat="1" applyFont="1" applyBorder="1" applyAlignment="1">
      <alignment horizontal="left" vertical="center" wrapText="1"/>
    </xf>
    <xf numFmtId="49" fontId="73" fillId="0" borderId="7" xfId="1" applyNumberFormat="1" applyFont="1" applyBorder="1" applyAlignment="1">
      <alignment horizontal="left" vertical="center"/>
    </xf>
    <xf numFmtId="49" fontId="73" fillId="0" borderId="6" xfId="1" applyNumberFormat="1" applyFont="1" applyBorder="1" applyAlignment="1">
      <alignment horizontal="left" vertical="center"/>
    </xf>
    <xf numFmtId="49" fontId="70" fillId="0" borderId="4" xfId="6" applyNumberFormat="1" applyFont="1" applyBorder="1" applyAlignment="1">
      <alignment horizontal="left" vertical="center" wrapText="1"/>
    </xf>
    <xf numFmtId="49" fontId="70" fillId="0" borderId="7" xfId="6" applyNumberFormat="1" applyFont="1" applyBorder="1" applyAlignment="1">
      <alignment horizontal="left" vertical="center" wrapText="1"/>
    </xf>
    <xf numFmtId="49" fontId="70" fillId="28" borderId="7" xfId="6" applyNumberFormat="1" applyFont="1" applyFill="1" applyBorder="1" applyAlignment="1">
      <alignment horizontal="left" vertical="center" wrapText="1"/>
    </xf>
    <xf numFmtId="49" fontId="70" fillId="38" borderId="7" xfId="6" applyNumberFormat="1" applyFont="1" applyFill="1" applyBorder="1" applyAlignment="1">
      <alignment horizontal="left" vertical="center" wrapText="1"/>
    </xf>
    <xf numFmtId="0" fontId="69" fillId="28" borderId="4" xfId="0" applyFont="1" applyFill="1" applyBorder="1" applyAlignment="1">
      <alignment vertical="center" wrapText="1"/>
    </xf>
    <xf numFmtId="0" fontId="69" fillId="0" borderId="7" xfId="0" applyFont="1" applyBorder="1" applyAlignment="1">
      <alignment vertical="center" wrapText="1"/>
    </xf>
    <xf numFmtId="0" fontId="69" fillId="0" borderId="28" xfId="0" applyFont="1" applyBorder="1" applyAlignment="1">
      <alignment vertical="center" wrapText="1"/>
    </xf>
    <xf numFmtId="49" fontId="70" fillId="0" borderId="4" xfId="1" applyNumberFormat="1" applyFont="1" applyBorder="1" applyAlignment="1">
      <alignment horizontal="center" vertical="center" wrapText="1"/>
    </xf>
    <xf numFmtId="49" fontId="48" fillId="0" borderId="4" xfId="6" applyNumberFormat="1" applyFont="1" applyBorder="1" applyAlignment="1">
      <alignment horizontal="center" vertical="center" wrapText="1"/>
    </xf>
    <xf numFmtId="49" fontId="48" fillId="0" borderId="7" xfId="6" applyNumberFormat="1" applyFont="1" applyBorder="1" applyAlignment="1">
      <alignment horizontal="center" vertical="center" wrapText="1"/>
    </xf>
    <xf numFmtId="49" fontId="48" fillId="0" borderId="6" xfId="6" applyNumberFormat="1" applyFont="1" applyBorder="1" applyAlignment="1">
      <alignment horizontal="center" vertical="center" wrapText="1"/>
    </xf>
    <xf numFmtId="16" fontId="46" fillId="31" borderId="11" xfId="6" applyNumberFormat="1" applyFont="1" applyFill="1" applyBorder="1" applyAlignment="1">
      <alignment horizontal="left" vertical="center" wrapText="1"/>
    </xf>
    <xf numFmtId="16" fontId="46" fillId="31" borderId="38" xfId="6" applyNumberFormat="1" applyFont="1" applyFill="1" applyBorder="1" applyAlignment="1">
      <alignment horizontal="left" vertical="center" wrapText="1"/>
    </xf>
    <xf numFmtId="49" fontId="47" fillId="0" borderId="4" xfId="6" applyNumberFormat="1" applyFont="1" applyBorder="1" applyAlignment="1">
      <alignment horizontal="left" vertical="center" wrapText="1"/>
    </xf>
    <xf numFmtId="49" fontId="47" fillId="0" borderId="7" xfId="6" applyNumberFormat="1" applyFont="1" applyBorder="1" applyAlignment="1">
      <alignment horizontal="left" vertical="center" wrapText="1"/>
    </xf>
    <xf numFmtId="49" fontId="34" fillId="0" borderId="4" xfId="6" applyNumberFormat="1" applyFont="1" applyBorder="1" applyAlignment="1">
      <alignment horizontal="left" vertical="center" wrapText="1"/>
    </xf>
    <xf numFmtId="49" fontId="34" fillId="0" borderId="7" xfId="6" applyNumberFormat="1" applyFont="1" applyBorder="1" applyAlignment="1">
      <alignment horizontal="left" vertical="center" wrapText="1"/>
    </xf>
    <xf numFmtId="49" fontId="34" fillId="0" borderId="6" xfId="6" applyNumberFormat="1" applyFont="1" applyBorder="1" applyAlignment="1">
      <alignment horizontal="left" vertical="center" wrapText="1"/>
    </xf>
    <xf numFmtId="49" fontId="47" fillId="0" borderId="0" xfId="1" applyNumberFormat="1" applyFont="1" applyAlignment="1">
      <alignment horizontal="left" vertical="center" wrapText="1"/>
    </xf>
  </cellXfs>
  <cellStyles count="1468">
    <cellStyle name="_ieguld.plāns" xfId="13" xr:uid="{00000000-0005-0000-0000-000000000000}"/>
    <cellStyle name="20% - Accent1 10" xfId="14" xr:uid="{00000000-0005-0000-0000-000001000000}"/>
    <cellStyle name="20% - Accent1 10 2" xfId="15" xr:uid="{00000000-0005-0000-0000-000002000000}"/>
    <cellStyle name="20% - Accent1 10 2 2" xfId="16" xr:uid="{00000000-0005-0000-0000-000003000000}"/>
    <cellStyle name="20% - Accent1 10 3" xfId="17" xr:uid="{00000000-0005-0000-0000-000004000000}"/>
    <cellStyle name="20% - Accent1 11" xfId="18" xr:uid="{00000000-0005-0000-0000-000005000000}"/>
    <cellStyle name="20% - Accent1 11 2" xfId="19" xr:uid="{00000000-0005-0000-0000-000006000000}"/>
    <cellStyle name="20% - Accent1 11 2 2" xfId="20" xr:uid="{00000000-0005-0000-0000-000007000000}"/>
    <cellStyle name="20% - Accent1 11 3" xfId="21" xr:uid="{00000000-0005-0000-0000-000008000000}"/>
    <cellStyle name="20% - Accent1 12" xfId="22" xr:uid="{00000000-0005-0000-0000-000009000000}"/>
    <cellStyle name="20% - Accent1 12 2" xfId="23" xr:uid="{00000000-0005-0000-0000-00000A000000}"/>
    <cellStyle name="20% - Accent1 12 2 2" xfId="24" xr:uid="{00000000-0005-0000-0000-00000B000000}"/>
    <cellStyle name="20% - Accent1 12 3" xfId="25" xr:uid="{00000000-0005-0000-0000-00000C000000}"/>
    <cellStyle name="20% - Accent1 13" xfId="26" xr:uid="{00000000-0005-0000-0000-00000D000000}"/>
    <cellStyle name="20% - Accent1 13 2" xfId="27" xr:uid="{00000000-0005-0000-0000-00000E000000}"/>
    <cellStyle name="20% - Accent1 13 2 2" xfId="28" xr:uid="{00000000-0005-0000-0000-00000F000000}"/>
    <cellStyle name="20% - Accent1 13 3" xfId="29" xr:uid="{00000000-0005-0000-0000-000010000000}"/>
    <cellStyle name="20% - Accent1 14" xfId="30" xr:uid="{00000000-0005-0000-0000-000011000000}"/>
    <cellStyle name="20% - Accent1 14 2" xfId="31" xr:uid="{00000000-0005-0000-0000-000012000000}"/>
    <cellStyle name="20% - Accent1 14 2 2" xfId="32" xr:uid="{00000000-0005-0000-0000-000013000000}"/>
    <cellStyle name="20% - Accent1 14 3" xfId="33" xr:uid="{00000000-0005-0000-0000-000014000000}"/>
    <cellStyle name="20% - Accent1 15" xfId="34" xr:uid="{00000000-0005-0000-0000-000015000000}"/>
    <cellStyle name="20% - Accent1 15 2" xfId="35" xr:uid="{00000000-0005-0000-0000-000016000000}"/>
    <cellStyle name="20% - Accent1 15 2 2" xfId="36" xr:uid="{00000000-0005-0000-0000-000017000000}"/>
    <cellStyle name="20% - Accent1 15 3" xfId="37" xr:uid="{00000000-0005-0000-0000-000018000000}"/>
    <cellStyle name="20% - Accent1 16" xfId="38" xr:uid="{00000000-0005-0000-0000-000019000000}"/>
    <cellStyle name="20% - Accent1 2" xfId="39" xr:uid="{00000000-0005-0000-0000-00001A000000}"/>
    <cellStyle name="20% - Accent1 2 2" xfId="40" xr:uid="{00000000-0005-0000-0000-00001B000000}"/>
    <cellStyle name="20% - Accent1 2 2 2" xfId="41" xr:uid="{00000000-0005-0000-0000-00001C000000}"/>
    <cellStyle name="20% - Accent1 2 3" xfId="42" xr:uid="{00000000-0005-0000-0000-00001D000000}"/>
    <cellStyle name="20% - Accent1 3" xfId="43" xr:uid="{00000000-0005-0000-0000-00001E000000}"/>
    <cellStyle name="20% - Accent1 3 2" xfId="44" xr:uid="{00000000-0005-0000-0000-00001F000000}"/>
    <cellStyle name="20% - Accent1 3 2 2" xfId="45" xr:uid="{00000000-0005-0000-0000-000020000000}"/>
    <cellStyle name="20% - Accent1 3 3" xfId="46" xr:uid="{00000000-0005-0000-0000-000021000000}"/>
    <cellStyle name="20% - Accent1 4" xfId="47" xr:uid="{00000000-0005-0000-0000-000022000000}"/>
    <cellStyle name="20% - Accent1 4 2" xfId="48" xr:uid="{00000000-0005-0000-0000-000023000000}"/>
    <cellStyle name="20% - Accent1 4 2 2" xfId="49" xr:uid="{00000000-0005-0000-0000-000024000000}"/>
    <cellStyle name="20% - Accent1 4 3" xfId="50" xr:uid="{00000000-0005-0000-0000-000025000000}"/>
    <cellStyle name="20% - Accent1 5" xfId="51" xr:uid="{00000000-0005-0000-0000-000026000000}"/>
    <cellStyle name="20% - Accent1 5 2" xfId="52" xr:uid="{00000000-0005-0000-0000-000027000000}"/>
    <cellStyle name="20% - Accent1 5 2 2" xfId="53" xr:uid="{00000000-0005-0000-0000-000028000000}"/>
    <cellStyle name="20% - Accent1 5 3" xfId="54" xr:uid="{00000000-0005-0000-0000-000029000000}"/>
    <cellStyle name="20% - Accent1 6" xfId="55" xr:uid="{00000000-0005-0000-0000-00002A000000}"/>
    <cellStyle name="20% - Accent1 6 2" xfId="56" xr:uid="{00000000-0005-0000-0000-00002B000000}"/>
    <cellStyle name="20% - Accent1 6 2 2" xfId="57" xr:uid="{00000000-0005-0000-0000-00002C000000}"/>
    <cellStyle name="20% - Accent1 6 3" xfId="58" xr:uid="{00000000-0005-0000-0000-00002D000000}"/>
    <cellStyle name="20% - Accent1 7" xfId="59" xr:uid="{00000000-0005-0000-0000-00002E000000}"/>
    <cellStyle name="20% - Accent1 7 2" xfId="60" xr:uid="{00000000-0005-0000-0000-00002F000000}"/>
    <cellStyle name="20% - Accent1 7 2 2" xfId="61" xr:uid="{00000000-0005-0000-0000-000030000000}"/>
    <cellStyle name="20% - Accent1 7 3" xfId="62" xr:uid="{00000000-0005-0000-0000-000031000000}"/>
    <cellStyle name="20% - Accent1 8" xfId="63" xr:uid="{00000000-0005-0000-0000-000032000000}"/>
    <cellStyle name="20% - Accent1 8 2" xfId="64" xr:uid="{00000000-0005-0000-0000-000033000000}"/>
    <cellStyle name="20% - Accent1 8 2 2" xfId="65" xr:uid="{00000000-0005-0000-0000-000034000000}"/>
    <cellStyle name="20% - Accent1 8 3" xfId="66" xr:uid="{00000000-0005-0000-0000-000035000000}"/>
    <cellStyle name="20% - Accent1 9" xfId="67" xr:uid="{00000000-0005-0000-0000-000036000000}"/>
    <cellStyle name="20% - Accent1 9 2" xfId="68" xr:uid="{00000000-0005-0000-0000-000037000000}"/>
    <cellStyle name="20% - Accent1 9 2 2" xfId="69" xr:uid="{00000000-0005-0000-0000-000038000000}"/>
    <cellStyle name="20% - Accent1 9 3" xfId="70" xr:uid="{00000000-0005-0000-0000-000039000000}"/>
    <cellStyle name="20% - Accent2 10" xfId="71" xr:uid="{00000000-0005-0000-0000-00003A000000}"/>
    <cellStyle name="20% - Accent2 10 2" xfId="72" xr:uid="{00000000-0005-0000-0000-00003B000000}"/>
    <cellStyle name="20% - Accent2 10 2 2" xfId="73" xr:uid="{00000000-0005-0000-0000-00003C000000}"/>
    <cellStyle name="20% - Accent2 10 3" xfId="74" xr:uid="{00000000-0005-0000-0000-00003D000000}"/>
    <cellStyle name="20% - Accent2 11" xfId="75" xr:uid="{00000000-0005-0000-0000-00003E000000}"/>
    <cellStyle name="20% - Accent2 11 2" xfId="76" xr:uid="{00000000-0005-0000-0000-00003F000000}"/>
    <cellStyle name="20% - Accent2 11 2 2" xfId="77" xr:uid="{00000000-0005-0000-0000-000040000000}"/>
    <cellStyle name="20% - Accent2 11 3" xfId="78" xr:uid="{00000000-0005-0000-0000-000041000000}"/>
    <cellStyle name="20% - Accent2 12" xfId="79" xr:uid="{00000000-0005-0000-0000-000042000000}"/>
    <cellStyle name="20% - Accent2 12 2" xfId="80" xr:uid="{00000000-0005-0000-0000-000043000000}"/>
    <cellStyle name="20% - Accent2 12 2 2" xfId="81" xr:uid="{00000000-0005-0000-0000-000044000000}"/>
    <cellStyle name="20% - Accent2 12 3" xfId="82" xr:uid="{00000000-0005-0000-0000-000045000000}"/>
    <cellStyle name="20% - Accent2 13" xfId="83" xr:uid="{00000000-0005-0000-0000-000046000000}"/>
    <cellStyle name="20% - Accent2 13 2" xfId="84" xr:uid="{00000000-0005-0000-0000-000047000000}"/>
    <cellStyle name="20% - Accent2 13 2 2" xfId="85" xr:uid="{00000000-0005-0000-0000-000048000000}"/>
    <cellStyle name="20% - Accent2 13 3" xfId="86" xr:uid="{00000000-0005-0000-0000-000049000000}"/>
    <cellStyle name="20% - Accent2 14" xfId="87" xr:uid="{00000000-0005-0000-0000-00004A000000}"/>
    <cellStyle name="20% - Accent2 14 2" xfId="88" xr:uid="{00000000-0005-0000-0000-00004B000000}"/>
    <cellStyle name="20% - Accent2 14 2 2" xfId="89" xr:uid="{00000000-0005-0000-0000-00004C000000}"/>
    <cellStyle name="20% - Accent2 14 3" xfId="90" xr:uid="{00000000-0005-0000-0000-00004D000000}"/>
    <cellStyle name="20% - Accent2 15" xfId="91" xr:uid="{00000000-0005-0000-0000-00004E000000}"/>
    <cellStyle name="20% - Accent2 15 2" xfId="92" xr:uid="{00000000-0005-0000-0000-00004F000000}"/>
    <cellStyle name="20% - Accent2 15 2 2" xfId="93" xr:uid="{00000000-0005-0000-0000-000050000000}"/>
    <cellStyle name="20% - Accent2 15 3" xfId="94" xr:uid="{00000000-0005-0000-0000-000051000000}"/>
    <cellStyle name="20% - Accent2 16" xfId="95" xr:uid="{00000000-0005-0000-0000-000052000000}"/>
    <cellStyle name="20% - Accent2 2" xfId="96" xr:uid="{00000000-0005-0000-0000-000053000000}"/>
    <cellStyle name="20% - Accent2 2 2" xfId="97" xr:uid="{00000000-0005-0000-0000-000054000000}"/>
    <cellStyle name="20% - Accent2 2 2 2" xfId="98" xr:uid="{00000000-0005-0000-0000-000055000000}"/>
    <cellStyle name="20% - Accent2 2 3" xfId="99" xr:uid="{00000000-0005-0000-0000-000056000000}"/>
    <cellStyle name="20% - Accent2 3" xfId="100" xr:uid="{00000000-0005-0000-0000-000057000000}"/>
    <cellStyle name="20% - Accent2 3 2" xfId="101" xr:uid="{00000000-0005-0000-0000-000058000000}"/>
    <cellStyle name="20% - Accent2 3 2 2" xfId="102" xr:uid="{00000000-0005-0000-0000-000059000000}"/>
    <cellStyle name="20% - Accent2 3 3" xfId="103" xr:uid="{00000000-0005-0000-0000-00005A000000}"/>
    <cellStyle name="20% - Accent2 4" xfId="104" xr:uid="{00000000-0005-0000-0000-00005B000000}"/>
    <cellStyle name="20% - Accent2 4 2" xfId="105" xr:uid="{00000000-0005-0000-0000-00005C000000}"/>
    <cellStyle name="20% - Accent2 4 2 2" xfId="106" xr:uid="{00000000-0005-0000-0000-00005D000000}"/>
    <cellStyle name="20% - Accent2 4 3" xfId="107" xr:uid="{00000000-0005-0000-0000-00005E000000}"/>
    <cellStyle name="20% - Accent2 5" xfId="108" xr:uid="{00000000-0005-0000-0000-00005F000000}"/>
    <cellStyle name="20% - Accent2 5 2" xfId="109" xr:uid="{00000000-0005-0000-0000-000060000000}"/>
    <cellStyle name="20% - Accent2 5 2 2" xfId="110" xr:uid="{00000000-0005-0000-0000-000061000000}"/>
    <cellStyle name="20% - Accent2 5 3" xfId="111" xr:uid="{00000000-0005-0000-0000-000062000000}"/>
    <cellStyle name="20% - Accent2 6" xfId="112" xr:uid="{00000000-0005-0000-0000-000063000000}"/>
    <cellStyle name="20% - Accent2 6 2" xfId="113" xr:uid="{00000000-0005-0000-0000-000064000000}"/>
    <cellStyle name="20% - Accent2 6 2 2" xfId="114" xr:uid="{00000000-0005-0000-0000-000065000000}"/>
    <cellStyle name="20% - Accent2 6 3" xfId="115" xr:uid="{00000000-0005-0000-0000-000066000000}"/>
    <cellStyle name="20% - Accent2 7" xfId="116" xr:uid="{00000000-0005-0000-0000-000067000000}"/>
    <cellStyle name="20% - Accent2 7 2" xfId="117" xr:uid="{00000000-0005-0000-0000-000068000000}"/>
    <cellStyle name="20% - Accent2 7 2 2" xfId="118" xr:uid="{00000000-0005-0000-0000-000069000000}"/>
    <cellStyle name="20% - Accent2 7 3" xfId="119" xr:uid="{00000000-0005-0000-0000-00006A000000}"/>
    <cellStyle name="20% - Accent2 8" xfId="120" xr:uid="{00000000-0005-0000-0000-00006B000000}"/>
    <cellStyle name="20% - Accent2 8 2" xfId="121" xr:uid="{00000000-0005-0000-0000-00006C000000}"/>
    <cellStyle name="20% - Accent2 8 2 2" xfId="122" xr:uid="{00000000-0005-0000-0000-00006D000000}"/>
    <cellStyle name="20% - Accent2 8 3" xfId="123" xr:uid="{00000000-0005-0000-0000-00006E000000}"/>
    <cellStyle name="20% - Accent2 9" xfId="124" xr:uid="{00000000-0005-0000-0000-00006F000000}"/>
    <cellStyle name="20% - Accent2 9 2" xfId="125" xr:uid="{00000000-0005-0000-0000-000070000000}"/>
    <cellStyle name="20% - Accent2 9 2 2" xfId="126" xr:uid="{00000000-0005-0000-0000-000071000000}"/>
    <cellStyle name="20% - Accent2 9 3" xfId="127" xr:uid="{00000000-0005-0000-0000-000072000000}"/>
    <cellStyle name="20% - Accent3 10" xfId="128" xr:uid="{00000000-0005-0000-0000-000073000000}"/>
    <cellStyle name="20% - Accent3 10 2" xfId="129" xr:uid="{00000000-0005-0000-0000-000074000000}"/>
    <cellStyle name="20% - Accent3 10 2 2" xfId="130" xr:uid="{00000000-0005-0000-0000-000075000000}"/>
    <cellStyle name="20% - Accent3 10 3" xfId="131" xr:uid="{00000000-0005-0000-0000-000076000000}"/>
    <cellStyle name="20% - Accent3 11" xfId="132" xr:uid="{00000000-0005-0000-0000-000077000000}"/>
    <cellStyle name="20% - Accent3 11 2" xfId="133" xr:uid="{00000000-0005-0000-0000-000078000000}"/>
    <cellStyle name="20% - Accent3 11 2 2" xfId="134" xr:uid="{00000000-0005-0000-0000-000079000000}"/>
    <cellStyle name="20% - Accent3 11 3" xfId="135" xr:uid="{00000000-0005-0000-0000-00007A000000}"/>
    <cellStyle name="20% - Accent3 12" xfId="136" xr:uid="{00000000-0005-0000-0000-00007B000000}"/>
    <cellStyle name="20% - Accent3 12 2" xfId="137" xr:uid="{00000000-0005-0000-0000-00007C000000}"/>
    <cellStyle name="20% - Accent3 12 2 2" xfId="138" xr:uid="{00000000-0005-0000-0000-00007D000000}"/>
    <cellStyle name="20% - Accent3 12 3" xfId="139" xr:uid="{00000000-0005-0000-0000-00007E000000}"/>
    <cellStyle name="20% - Accent3 13" xfId="140" xr:uid="{00000000-0005-0000-0000-00007F000000}"/>
    <cellStyle name="20% - Accent3 13 2" xfId="141" xr:uid="{00000000-0005-0000-0000-000080000000}"/>
    <cellStyle name="20% - Accent3 13 2 2" xfId="142" xr:uid="{00000000-0005-0000-0000-000081000000}"/>
    <cellStyle name="20% - Accent3 13 3" xfId="143" xr:uid="{00000000-0005-0000-0000-000082000000}"/>
    <cellStyle name="20% - Accent3 14" xfId="144" xr:uid="{00000000-0005-0000-0000-000083000000}"/>
    <cellStyle name="20% - Accent3 14 2" xfId="145" xr:uid="{00000000-0005-0000-0000-000084000000}"/>
    <cellStyle name="20% - Accent3 14 2 2" xfId="146" xr:uid="{00000000-0005-0000-0000-000085000000}"/>
    <cellStyle name="20% - Accent3 14 3" xfId="147" xr:uid="{00000000-0005-0000-0000-000086000000}"/>
    <cellStyle name="20% - Accent3 15" xfId="148" xr:uid="{00000000-0005-0000-0000-000087000000}"/>
    <cellStyle name="20% - Accent3 15 2" xfId="149" xr:uid="{00000000-0005-0000-0000-000088000000}"/>
    <cellStyle name="20% - Accent3 15 2 2" xfId="150" xr:uid="{00000000-0005-0000-0000-000089000000}"/>
    <cellStyle name="20% - Accent3 15 3" xfId="151" xr:uid="{00000000-0005-0000-0000-00008A000000}"/>
    <cellStyle name="20% - Accent3 16" xfId="152" xr:uid="{00000000-0005-0000-0000-00008B000000}"/>
    <cellStyle name="20% - Accent3 2" xfId="153" xr:uid="{00000000-0005-0000-0000-00008C000000}"/>
    <cellStyle name="20% - Accent3 2 2" xfId="154" xr:uid="{00000000-0005-0000-0000-00008D000000}"/>
    <cellStyle name="20% - Accent3 2 2 2" xfId="155" xr:uid="{00000000-0005-0000-0000-00008E000000}"/>
    <cellStyle name="20% - Accent3 2 3" xfId="156" xr:uid="{00000000-0005-0000-0000-00008F000000}"/>
    <cellStyle name="20% - Accent3 3" xfId="157" xr:uid="{00000000-0005-0000-0000-000090000000}"/>
    <cellStyle name="20% - Accent3 3 2" xfId="158" xr:uid="{00000000-0005-0000-0000-000091000000}"/>
    <cellStyle name="20% - Accent3 3 2 2" xfId="159" xr:uid="{00000000-0005-0000-0000-000092000000}"/>
    <cellStyle name="20% - Accent3 3 3" xfId="160" xr:uid="{00000000-0005-0000-0000-000093000000}"/>
    <cellStyle name="20% - Accent3 4" xfId="161" xr:uid="{00000000-0005-0000-0000-000094000000}"/>
    <cellStyle name="20% - Accent3 4 2" xfId="162" xr:uid="{00000000-0005-0000-0000-000095000000}"/>
    <cellStyle name="20% - Accent3 4 2 2" xfId="163" xr:uid="{00000000-0005-0000-0000-000096000000}"/>
    <cellStyle name="20% - Accent3 4 3" xfId="164" xr:uid="{00000000-0005-0000-0000-000097000000}"/>
    <cellStyle name="20% - Accent3 5" xfId="165" xr:uid="{00000000-0005-0000-0000-000098000000}"/>
    <cellStyle name="20% - Accent3 5 2" xfId="166" xr:uid="{00000000-0005-0000-0000-000099000000}"/>
    <cellStyle name="20% - Accent3 5 2 2" xfId="167" xr:uid="{00000000-0005-0000-0000-00009A000000}"/>
    <cellStyle name="20% - Accent3 5 3" xfId="168" xr:uid="{00000000-0005-0000-0000-00009B000000}"/>
    <cellStyle name="20% - Accent3 6" xfId="169" xr:uid="{00000000-0005-0000-0000-00009C000000}"/>
    <cellStyle name="20% - Accent3 6 2" xfId="170" xr:uid="{00000000-0005-0000-0000-00009D000000}"/>
    <cellStyle name="20% - Accent3 6 2 2" xfId="171" xr:uid="{00000000-0005-0000-0000-00009E000000}"/>
    <cellStyle name="20% - Accent3 6 3" xfId="172" xr:uid="{00000000-0005-0000-0000-00009F000000}"/>
    <cellStyle name="20% - Accent3 7" xfId="173" xr:uid="{00000000-0005-0000-0000-0000A0000000}"/>
    <cellStyle name="20% - Accent3 7 2" xfId="174" xr:uid="{00000000-0005-0000-0000-0000A1000000}"/>
    <cellStyle name="20% - Accent3 7 2 2" xfId="175" xr:uid="{00000000-0005-0000-0000-0000A2000000}"/>
    <cellStyle name="20% - Accent3 7 3" xfId="176" xr:uid="{00000000-0005-0000-0000-0000A3000000}"/>
    <cellStyle name="20% - Accent3 8" xfId="177" xr:uid="{00000000-0005-0000-0000-0000A4000000}"/>
    <cellStyle name="20% - Accent3 8 2" xfId="178" xr:uid="{00000000-0005-0000-0000-0000A5000000}"/>
    <cellStyle name="20% - Accent3 8 2 2" xfId="179" xr:uid="{00000000-0005-0000-0000-0000A6000000}"/>
    <cellStyle name="20% - Accent3 8 3" xfId="180" xr:uid="{00000000-0005-0000-0000-0000A7000000}"/>
    <cellStyle name="20% - Accent3 9" xfId="181" xr:uid="{00000000-0005-0000-0000-0000A8000000}"/>
    <cellStyle name="20% - Accent3 9 2" xfId="182" xr:uid="{00000000-0005-0000-0000-0000A9000000}"/>
    <cellStyle name="20% - Accent3 9 2 2" xfId="183" xr:uid="{00000000-0005-0000-0000-0000AA000000}"/>
    <cellStyle name="20% - Accent3 9 3" xfId="184" xr:uid="{00000000-0005-0000-0000-0000AB000000}"/>
    <cellStyle name="20% - Accent4 10" xfId="185" xr:uid="{00000000-0005-0000-0000-0000AC000000}"/>
    <cellStyle name="20% - Accent4 10 2" xfId="186" xr:uid="{00000000-0005-0000-0000-0000AD000000}"/>
    <cellStyle name="20% - Accent4 10 2 2" xfId="187" xr:uid="{00000000-0005-0000-0000-0000AE000000}"/>
    <cellStyle name="20% - Accent4 10 3" xfId="188" xr:uid="{00000000-0005-0000-0000-0000AF000000}"/>
    <cellStyle name="20% - Accent4 11" xfId="189" xr:uid="{00000000-0005-0000-0000-0000B0000000}"/>
    <cellStyle name="20% - Accent4 11 2" xfId="190" xr:uid="{00000000-0005-0000-0000-0000B1000000}"/>
    <cellStyle name="20% - Accent4 11 2 2" xfId="191" xr:uid="{00000000-0005-0000-0000-0000B2000000}"/>
    <cellStyle name="20% - Accent4 11 3" xfId="192" xr:uid="{00000000-0005-0000-0000-0000B3000000}"/>
    <cellStyle name="20% - Accent4 12" xfId="193" xr:uid="{00000000-0005-0000-0000-0000B4000000}"/>
    <cellStyle name="20% - Accent4 12 2" xfId="194" xr:uid="{00000000-0005-0000-0000-0000B5000000}"/>
    <cellStyle name="20% - Accent4 12 2 2" xfId="195" xr:uid="{00000000-0005-0000-0000-0000B6000000}"/>
    <cellStyle name="20% - Accent4 12 3" xfId="196" xr:uid="{00000000-0005-0000-0000-0000B7000000}"/>
    <cellStyle name="20% - Accent4 13" xfId="197" xr:uid="{00000000-0005-0000-0000-0000B8000000}"/>
    <cellStyle name="20% - Accent4 13 2" xfId="198" xr:uid="{00000000-0005-0000-0000-0000B9000000}"/>
    <cellStyle name="20% - Accent4 13 2 2" xfId="199" xr:uid="{00000000-0005-0000-0000-0000BA000000}"/>
    <cellStyle name="20% - Accent4 13 3" xfId="200" xr:uid="{00000000-0005-0000-0000-0000BB000000}"/>
    <cellStyle name="20% - Accent4 14" xfId="201" xr:uid="{00000000-0005-0000-0000-0000BC000000}"/>
    <cellStyle name="20% - Accent4 14 2" xfId="202" xr:uid="{00000000-0005-0000-0000-0000BD000000}"/>
    <cellStyle name="20% - Accent4 14 2 2" xfId="203" xr:uid="{00000000-0005-0000-0000-0000BE000000}"/>
    <cellStyle name="20% - Accent4 14 3" xfId="204" xr:uid="{00000000-0005-0000-0000-0000BF000000}"/>
    <cellStyle name="20% - Accent4 15" xfId="205" xr:uid="{00000000-0005-0000-0000-0000C0000000}"/>
    <cellStyle name="20% - Accent4 15 2" xfId="206" xr:uid="{00000000-0005-0000-0000-0000C1000000}"/>
    <cellStyle name="20% - Accent4 15 2 2" xfId="207" xr:uid="{00000000-0005-0000-0000-0000C2000000}"/>
    <cellStyle name="20% - Accent4 15 3" xfId="208" xr:uid="{00000000-0005-0000-0000-0000C3000000}"/>
    <cellStyle name="20% - Accent4 16" xfId="209" xr:uid="{00000000-0005-0000-0000-0000C4000000}"/>
    <cellStyle name="20% - Accent4 2" xfId="210" xr:uid="{00000000-0005-0000-0000-0000C5000000}"/>
    <cellStyle name="20% - Accent4 2 2" xfId="211" xr:uid="{00000000-0005-0000-0000-0000C6000000}"/>
    <cellStyle name="20% - Accent4 2 2 2" xfId="212" xr:uid="{00000000-0005-0000-0000-0000C7000000}"/>
    <cellStyle name="20% - Accent4 2 3" xfId="213" xr:uid="{00000000-0005-0000-0000-0000C8000000}"/>
    <cellStyle name="20% - Accent4 3" xfId="214" xr:uid="{00000000-0005-0000-0000-0000C9000000}"/>
    <cellStyle name="20% - Accent4 3 2" xfId="215" xr:uid="{00000000-0005-0000-0000-0000CA000000}"/>
    <cellStyle name="20% - Accent4 3 2 2" xfId="216" xr:uid="{00000000-0005-0000-0000-0000CB000000}"/>
    <cellStyle name="20% - Accent4 3 3" xfId="217" xr:uid="{00000000-0005-0000-0000-0000CC000000}"/>
    <cellStyle name="20% - Accent4 4" xfId="218" xr:uid="{00000000-0005-0000-0000-0000CD000000}"/>
    <cellStyle name="20% - Accent4 4 2" xfId="219" xr:uid="{00000000-0005-0000-0000-0000CE000000}"/>
    <cellStyle name="20% - Accent4 4 2 2" xfId="220" xr:uid="{00000000-0005-0000-0000-0000CF000000}"/>
    <cellStyle name="20% - Accent4 4 3" xfId="221" xr:uid="{00000000-0005-0000-0000-0000D0000000}"/>
    <cellStyle name="20% - Accent4 5" xfId="222" xr:uid="{00000000-0005-0000-0000-0000D1000000}"/>
    <cellStyle name="20% - Accent4 5 2" xfId="223" xr:uid="{00000000-0005-0000-0000-0000D2000000}"/>
    <cellStyle name="20% - Accent4 5 2 2" xfId="224" xr:uid="{00000000-0005-0000-0000-0000D3000000}"/>
    <cellStyle name="20% - Accent4 5 3" xfId="225" xr:uid="{00000000-0005-0000-0000-0000D4000000}"/>
    <cellStyle name="20% - Accent4 6" xfId="226" xr:uid="{00000000-0005-0000-0000-0000D5000000}"/>
    <cellStyle name="20% - Accent4 6 2" xfId="227" xr:uid="{00000000-0005-0000-0000-0000D6000000}"/>
    <cellStyle name="20% - Accent4 6 2 2" xfId="228" xr:uid="{00000000-0005-0000-0000-0000D7000000}"/>
    <cellStyle name="20% - Accent4 6 3" xfId="229" xr:uid="{00000000-0005-0000-0000-0000D8000000}"/>
    <cellStyle name="20% - Accent4 7" xfId="230" xr:uid="{00000000-0005-0000-0000-0000D9000000}"/>
    <cellStyle name="20% - Accent4 7 2" xfId="231" xr:uid="{00000000-0005-0000-0000-0000DA000000}"/>
    <cellStyle name="20% - Accent4 7 2 2" xfId="232" xr:uid="{00000000-0005-0000-0000-0000DB000000}"/>
    <cellStyle name="20% - Accent4 7 3" xfId="233" xr:uid="{00000000-0005-0000-0000-0000DC000000}"/>
    <cellStyle name="20% - Accent4 8" xfId="234" xr:uid="{00000000-0005-0000-0000-0000DD000000}"/>
    <cellStyle name="20% - Accent4 8 2" xfId="235" xr:uid="{00000000-0005-0000-0000-0000DE000000}"/>
    <cellStyle name="20% - Accent4 8 2 2" xfId="236" xr:uid="{00000000-0005-0000-0000-0000DF000000}"/>
    <cellStyle name="20% - Accent4 8 3" xfId="237" xr:uid="{00000000-0005-0000-0000-0000E0000000}"/>
    <cellStyle name="20% - Accent4 9" xfId="238" xr:uid="{00000000-0005-0000-0000-0000E1000000}"/>
    <cellStyle name="20% - Accent4 9 2" xfId="239" xr:uid="{00000000-0005-0000-0000-0000E2000000}"/>
    <cellStyle name="20% - Accent4 9 2 2" xfId="240" xr:uid="{00000000-0005-0000-0000-0000E3000000}"/>
    <cellStyle name="20% - Accent4 9 3" xfId="241" xr:uid="{00000000-0005-0000-0000-0000E4000000}"/>
    <cellStyle name="20% - Accent5 10" xfId="242" xr:uid="{00000000-0005-0000-0000-0000E5000000}"/>
    <cellStyle name="20% - Accent5 10 2" xfId="243" xr:uid="{00000000-0005-0000-0000-0000E6000000}"/>
    <cellStyle name="20% - Accent5 10 2 2" xfId="244" xr:uid="{00000000-0005-0000-0000-0000E7000000}"/>
    <cellStyle name="20% - Accent5 10 3" xfId="245" xr:uid="{00000000-0005-0000-0000-0000E8000000}"/>
    <cellStyle name="20% - Accent5 11" xfId="246" xr:uid="{00000000-0005-0000-0000-0000E9000000}"/>
    <cellStyle name="20% - Accent5 11 2" xfId="247" xr:uid="{00000000-0005-0000-0000-0000EA000000}"/>
    <cellStyle name="20% - Accent5 11 2 2" xfId="248" xr:uid="{00000000-0005-0000-0000-0000EB000000}"/>
    <cellStyle name="20% - Accent5 11 3" xfId="249" xr:uid="{00000000-0005-0000-0000-0000EC000000}"/>
    <cellStyle name="20% - Accent5 12" xfId="250" xr:uid="{00000000-0005-0000-0000-0000ED000000}"/>
    <cellStyle name="20% - Accent5 12 2" xfId="251" xr:uid="{00000000-0005-0000-0000-0000EE000000}"/>
    <cellStyle name="20% - Accent5 12 2 2" xfId="252" xr:uid="{00000000-0005-0000-0000-0000EF000000}"/>
    <cellStyle name="20% - Accent5 12 3" xfId="253" xr:uid="{00000000-0005-0000-0000-0000F0000000}"/>
    <cellStyle name="20% - Accent5 13" xfId="254" xr:uid="{00000000-0005-0000-0000-0000F1000000}"/>
    <cellStyle name="20% - Accent5 13 2" xfId="255" xr:uid="{00000000-0005-0000-0000-0000F2000000}"/>
    <cellStyle name="20% - Accent5 13 2 2" xfId="256" xr:uid="{00000000-0005-0000-0000-0000F3000000}"/>
    <cellStyle name="20% - Accent5 13 3" xfId="257" xr:uid="{00000000-0005-0000-0000-0000F4000000}"/>
    <cellStyle name="20% - Accent5 14" xfId="258" xr:uid="{00000000-0005-0000-0000-0000F5000000}"/>
    <cellStyle name="20% - Accent5 14 2" xfId="259" xr:uid="{00000000-0005-0000-0000-0000F6000000}"/>
    <cellStyle name="20% - Accent5 14 2 2" xfId="260" xr:uid="{00000000-0005-0000-0000-0000F7000000}"/>
    <cellStyle name="20% - Accent5 14 3" xfId="261" xr:uid="{00000000-0005-0000-0000-0000F8000000}"/>
    <cellStyle name="20% - Accent5 15" xfId="262" xr:uid="{00000000-0005-0000-0000-0000F9000000}"/>
    <cellStyle name="20% - Accent5 15 2" xfId="263" xr:uid="{00000000-0005-0000-0000-0000FA000000}"/>
    <cellStyle name="20% - Accent5 15 2 2" xfId="264" xr:uid="{00000000-0005-0000-0000-0000FB000000}"/>
    <cellStyle name="20% - Accent5 15 3" xfId="265" xr:uid="{00000000-0005-0000-0000-0000FC000000}"/>
    <cellStyle name="20% - Accent5 16" xfId="266" xr:uid="{00000000-0005-0000-0000-0000FD000000}"/>
    <cellStyle name="20% - Accent5 2" xfId="267" xr:uid="{00000000-0005-0000-0000-0000FE000000}"/>
    <cellStyle name="20% - Accent5 2 2" xfId="268" xr:uid="{00000000-0005-0000-0000-0000FF000000}"/>
    <cellStyle name="20% - Accent5 2 2 2" xfId="269" xr:uid="{00000000-0005-0000-0000-000000010000}"/>
    <cellStyle name="20% - Accent5 2 3" xfId="270" xr:uid="{00000000-0005-0000-0000-000001010000}"/>
    <cellStyle name="20% - Accent5 3" xfId="271" xr:uid="{00000000-0005-0000-0000-000002010000}"/>
    <cellStyle name="20% - Accent5 3 2" xfId="272" xr:uid="{00000000-0005-0000-0000-000003010000}"/>
    <cellStyle name="20% - Accent5 3 2 2" xfId="273" xr:uid="{00000000-0005-0000-0000-000004010000}"/>
    <cellStyle name="20% - Accent5 3 3" xfId="274" xr:uid="{00000000-0005-0000-0000-000005010000}"/>
    <cellStyle name="20% - Accent5 4" xfId="275" xr:uid="{00000000-0005-0000-0000-000006010000}"/>
    <cellStyle name="20% - Accent5 4 2" xfId="276" xr:uid="{00000000-0005-0000-0000-000007010000}"/>
    <cellStyle name="20% - Accent5 4 2 2" xfId="277" xr:uid="{00000000-0005-0000-0000-000008010000}"/>
    <cellStyle name="20% - Accent5 4 3" xfId="278" xr:uid="{00000000-0005-0000-0000-000009010000}"/>
    <cellStyle name="20% - Accent5 5" xfId="279" xr:uid="{00000000-0005-0000-0000-00000A010000}"/>
    <cellStyle name="20% - Accent5 5 2" xfId="280" xr:uid="{00000000-0005-0000-0000-00000B010000}"/>
    <cellStyle name="20% - Accent5 5 2 2" xfId="281" xr:uid="{00000000-0005-0000-0000-00000C010000}"/>
    <cellStyle name="20% - Accent5 5 3" xfId="282" xr:uid="{00000000-0005-0000-0000-00000D010000}"/>
    <cellStyle name="20% - Accent5 6" xfId="283" xr:uid="{00000000-0005-0000-0000-00000E010000}"/>
    <cellStyle name="20% - Accent5 6 2" xfId="284" xr:uid="{00000000-0005-0000-0000-00000F010000}"/>
    <cellStyle name="20% - Accent5 6 2 2" xfId="285" xr:uid="{00000000-0005-0000-0000-000010010000}"/>
    <cellStyle name="20% - Accent5 6 3" xfId="286" xr:uid="{00000000-0005-0000-0000-000011010000}"/>
    <cellStyle name="20% - Accent5 7" xfId="287" xr:uid="{00000000-0005-0000-0000-000012010000}"/>
    <cellStyle name="20% - Accent5 7 2" xfId="288" xr:uid="{00000000-0005-0000-0000-000013010000}"/>
    <cellStyle name="20% - Accent5 7 2 2" xfId="289" xr:uid="{00000000-0005-0000-0000-000014010000}"/>
    <cellStyle name="20% - Accent5 7 3" xfId="290" xr:uid="{00000000-0005-0000-0000-000015010000}"/>
    <cellStyle name="20% - Accent5 8" xfId="291" xr:uid="{00000000-0005-0000-0000-000016010000}"/>
    <cellStyle name="20% - Accent5 8 2" xfId="292" xr:uid="{00000000-0005-0000-0000-000017010000}"/>
    <cellStyle name="20% - Accent5 8 2 2" xfId="293" xr:uid="{00000000-0005-0000-0000-000018010000}"/>
    <cellStyle name="20% - Accent5 8 3" xfId="294" xr:uid="{00000000-0005-0000-0000-000019010000}"/>
    <cellStyle name="20% - Accent5 9" xfId="295" xr:uid="{00000000-0005-0000-0000-00001A010000}"/>
    <cellStyle name="20% - Accent5 9 2" xfId="296" xr:uid="{00000000-0005-0000-0000-00001B010000}"/>
    <cellStyle name="20% - Accent5 9 2 2" xfId="297" xr:uid="{00000000-0005-0000-0000-00001C010000}"/>
    <cellStyle name="20% - Accent5 9 3" xfId="298" xr:uid="{00000000-0005-0000-0000-00001D010000}"/>
    <cellStyle name="20% - Accent6 10" xfId="299" xr:uid="{00000000-0005-0000-0000-00001E010000}"/>
    <cellStyle name="20% - Accent6 10 2" xfId="300" xr:uid="{00000000-0005-0000-0000-00001F010000}"/>
    <cellStyle name="20% - Accent6 10 2 2" xfId="301" xr:uid="{00000000-0005-0000-0000-000020010000}"/>
    <cellStyle name="20% - Accent6 10 3" xfId="302" xr:uid="{00000000-0005-0000-0000-000021010000}"/>
    <cellStyle name="20% - Accent6 11" xfId="303" xr:uid="{00000000-0005-0000-0000-000022010000}"/>
    <cellStyle name="20% - Accent6 11 2" xfId="304" xr:uid="{00000000-0005-0000-0000-000023010000}"/>
    <cellStyle name="20% - Accent6 11 2 2" xfId="305" xr:uid="{00000000-0005-0000-0000-000024010000}"/>
    <cellStyle name="20% - Accent6 11 3" xfId="306" xr:uid="{00000000-0005-0000-0000-000025010000}"/>
    <cellStyle name="20% - Accent6 12" xfId="307" xr:uid="{00000000-0005-0000-0000-000026010000}"/>
    <cellStyle name="20% - Accent6 12 2" xfId="308" xr:uid="{00000000-0005-0000-0000-000027010000}"/>
    <cellStyle name="20% - Accent6 12 2 2" xfId="309" xr:uid="{00000000-0005-0000-0000-000028010000}"/>
    <cellStyle name="20% - Accent6 12 3" xfId="310" xr:uid="{00000000-0005-0000-0000-000029010000}"/>
    <cellStyle name="20% - Accent6 13" xfId="311" xr:uid="{00000000-0005-0000-0000-00002A010000}"/>
    <cellStyle name="20% - Accent6 13 2" xfId="312" xr:uid="{00000000-0005-0000-0000-00002B010000}"/>
    <cellStyle name="20% - Accent6 13 2 2" xfId="313" xr:uid="{00000000-0005-0000-0000-00002C010000}"/>
    <cellStyle name="20% - Accent6 13 3" xfId="314" xr:uid="{00000000-0005-0000-0000-00002D010000}"/>
    <cellStyle name="20% - Accent6 14" xfId="315" xr:uid="{00000000-0005-0000-0000-00002E010000}"/>
    <cellStyle name="20% - Accent6 14 2" xfId="316" xr:uid="{00000000-0005-0000-0000-00002F010000}"/>
    <cellStyle name="20% - Accent6 14 2 2" xfId="317" xr:uid="{00000000-0005-0000-0000-000030010000}"/>
    <cellStyle name="20% - Accent6 14 3" xfId="318" xr:uid="{00000000-0005-0000-0000-000031010000}"/>
    <cellStyle name="20% - Accent6 15" xfId="319" xr:uid="{00000000-0005-0000-0000-000032010000}"/>
    <cellStyle name="20% - Accent6 15 2" xfId="320" xr:uid="{00000000-0005-0000-0000-000033010000}"/>
    <cellStyle name="20% - Accent6 15 2 2" xfId="321" xr:uid="{00000000-0005-0000-0000-000034010000}"/>
    <cellStyle name="20% - Accent6 15 3" xfId="322" xr:uid="{00000000-0005-0000-0000-000035010000}"/>
    <cellStyle name="20% - Accent6 16" xfId="323" xr:uid="{00000000-0005-0000-0000-000036010000}"/>
    <cellStyle name="20% - Accent6 2" xfId="324" xr:uid="{00000000-0005-0000-0000-000037010000}"/>
    <cellStyle name="20% - Accent6 2 2" xfId="325" xr:uid="{00000000-0005-0000-0000-000038010000}"/>
    <cellStyle name="20% - Accent6 2 2 2" xfId="326" xr:uid="{00000000-0005-0000-0000-000039010000}"/>
    <cellStyle name="20% - Accent6 2 3" xfId="327" xr:uid="{00000000-0005-0000-0000-00003A010000}"/>
    <cellStyle name="20% - Accent6 3" xfId="328" xr:uid="{00000000-0005-0000-0000-00003B010000}"/>
    <cellStyle name="20% - Accent6 3 2" xfId="329" xr:uid="{00000000-0005-0000-0000-00003C010000}"/>
    <cellStyle name="20% - Accent6 3 2 2" xfId="330" xr:uid="{00000000-0005-0000-0000-00003D010000}"/>
    <cellStyle name="20% - Accent6 3 3" xfId="331" xr:uid="{00000000-0005-0000-0000-00003E010000}"/>
    <cellStyle name="20% - Accent6 4" xfId="332" xr:uid="{00000000-0005-0000-0000-00003F010000}"/>
    <cellStyle name="20% - Accent6 4 2" xfId="333" xr:uid="{00000000-0005-0000-0000-000040010000}"/>
    <cellStyle name="20% - Accent6 4 2 2" xfId="334" xr:uid="{00000000-0005-0000-0000-000041010000}"/>
    <cellStyle name="20% - Accent6 4 3" xfId="335" xr:uid="{00000000-0005-0000-0000-000042010000}"/>
    <cellStyle name="20% - Accent6 5" xfId="336" xr:uid="{00000000-0005-0000-0000-000043010000}"/>
    <cellStyle name="20% - Accent6 5 2" xfId="337" xr:uid="{00000000-0005-0000-0000-000044010000}"/>
    <cellStyle name="20% - Accent6 5 2 2" xfId="338" xr:uid="{00000000-0005-0000-0000-000045010000}"/>
    <cellStyle name="20% - Accent6 5 3" xfId="339" xr:uid="{00000000-0005-0000-0000-000046010000}"/>
    <cellStyle name="20% - Accent6 6" xfId="340" xr:uid="{00000000-0005-0000-0000-000047010000}"/>
    <cellStyle name="20% - Accent6 6 2" xfId="341" xr:uid="{00000000-0005-0000-0000-000048010000}"/>
    <cellStyle name="20% - Accent6 6 2 2" xfId="342" xr:uid="{00000000-0005-0000-0000-000049010000}"/>
    <cellStyle name="20% - Accent6 6 3" xfId="343" xr:uid="{00000000-0005-0000-0000-00004A010000}"/>
    <cellStyle name="20% - Accent6 7" xfId="344" xr:uid="{00000000-0005-0000-0000-00004B010000}"/>
    <cellStyle name="20% - Accent6 7 2" xfId="345" xr:uid="{00000000-0005-0000-0000-00004C010000}"/>
    <cellStyle name="20% - Accent6 7 2 2" xfId="346" xr:uid="{00000000-0005-0000-0000-00004D010000}"/>
    <cellStyle name="20% - Accent6 7 3" xfId="347" xr:uid="{00000000-0005-0000-0000-00004E010000}"/>
    <cellStyle name="20% - Accent6 8" xfId="348" xr:uid="{00000000-0005-0000-0000-00004F010000}"/>
    <cellStyle name="20% - Accent6 8 2" xfId="349" xr:uid="{00000000-0005-0000-0000-000050010000}"/>
    <cellStyle name="20% - Accent6 8 2 2" xfId="350" xr:uid="{00000000-0005-0000-0000-000051010000}"/>
    <cellStyle name="20% - Accent6 8 3" xfId="351" xr:uid="{00000000-0005-0000-0000-000052010000}"/>
    <cellStyle name="20% - Accent6 9" xfId="352" xr:uid="{00000000-0005-0000-0000-000053010000}"/>
    <cellStyle name="20% - Accent6 9 2" xfId="353" xr:uid="{00000000-0005-0000-0000-000054010000}"/>
    <cellStyle name="20% - Accent6 9 2 2" xfId="354" xr:uid="{00000000-0005-0000-0000-000055010000}"/>
    <cellStyle name="20% - Accent6 9 3" xfId="355" xr:uid="{00000000-0005-0000-0000-000056010000}"/>
    <cellStyle name="40% - Accent1 10" xfId="356" xr:uid="{00000000-0005-0000-0000-000057010000}"/>
    <cellStyle name="40% - Accent1 10 2" xfId="357" xr:uid="{00000000-0005-0000-0000-000058010000}"/>
    <cellStyle name="40% - Accent1 10 2 2" xfId="358" xr:uid="{00000000-0005-0000-0000-000059010000}"/>
    <cellStyle name="40% - Accent1 10 3" xfId="359" xr:uid="{00000000-0005-0000-0000-00005A010000}"/>
    <cellStyle name="40% - Accent1 11" xfId="360" xr:uid="{00000000-0005-0000-0000-00005B010000}"/>
    <cellStyle name="40% - Accent1 11 2" xfId="361" xr:uid="{00000000-0005-0000-0000-00005C010000}"/>
    <cellStyle name="40% - Accent1 11 2 2" xfId="362" xr:uid="{00000000-0005-0000-0000-00005D010000}"/>
    <cellStyle name="40% - Accent1 11 3" xfId="363" xr:uid="{00000000-0005-0000-0000-00005E010000}"/>
    <cellStyle name="40% - Accent1 12" xfId="364" xr:uid="{00000000-0005-0000-0000-00005F010000}"/>
    <cellStyle name="40% - Accent1 12 2" xfId="365" xr:uid="{00000000-0005-0000-0000-000060010000}"/>
    <cellStyle name="40% - Accent1 12 2 2" xfId="366" xr:uid="{00000000-0005-0000-0000-000061010000}"/>
    <cellStyle name="40% - Accent1 12 3" xfId="367" xr:uid="{00000000-0005-0000-0000-000062010000}"/>
    <cellStyle name="40% - Accent1 13" xfId="368" xr:uid="{00000000-0005-0000-0000-000063010000}"/>
    <cellStyle name="40% - Accent1 13 2" xfId="369" xr:uid="{00000000-0005-0000-0000-000064010000}"/>
    <cellStyle name="40% - Accent1 13 2 2" xfId="370" xr:uid="{00000000-0005-0000-0000-000065010000}"/>
    <cellStyle name="40% - Accent1 13 3" xfId="371" xr:uid="{00000000-0005-0000-0000-000066010000}"/>
    <cellStyle name="40% - Accent1 14" xfId="372" xr:uid="{00000000-0005-0000-0000-000067010000}"/>
    <cellStyle name="40% - Accent1 14 2" xfId="373" xr:uid="{00000000-0005-0000-0000-000068010000}"/>
    <cellStyle name="40% - Accent1 14 2 2" xfId="374" xr:uid="{00000000-0005-0000-0000-000069010000}"/>
    <cellStyle name="40% - Accent1 14 3" xfId="375" xr:uid="{00000000-0005-0000-0000-00006A010000}"/>
    <cellStyle name="40% - Accent1 15" xfId="376" xr:uid="{00000000-0005-0000-0000-00006B010000}"/>
    <cellStyle name="40% - Accent1 15 2" xfId="377" xr:uid="{00000000-0005-0000-0000-00006C010000}"/>
    <cellStyle name="40% - Accent1 15 2 2" xfId="378" xr:uid="{00000000-0005-0000-0000-00006D010000}"/>
    <cellStyle name="40% - Accent1 15 3" xfId="379" xr:uid="{00000000-0005-0000-0000-00006E010000}"/>
    <cellStyle name="40% - Accent1 16" xfId="380" xr:uid="{00000000-0005-0000-0000-00006F010000}"/>
    <cellStyle name="40% - Accent1 2" xfId="381" xr:uid="{00000000-0005-0000-0000-000070010000}"/>
    <cellStyle name="40% - Accent1 2 2" xfId="382" xr:uid="{00000000-0005-0000-0000-000071010000}"/>
    <cellStyle name="40% - Accent1 2 2 2" xfId="383" xr:uid="{00000000-0005-0000-0000-000072010000}"/>
    <cellStyle name="40% - Accent1 2 3" xfId="384" xr:uid="{00000000-0005-0000-0000-000073010000}"/>
    <cellStyle name="40% - Accent1 3" xfId="385" xr:uid="{00000000-0005-0000-0000-000074010000}"/>
    <cellStyle name="40% - Accent1 3 2" xfId="386" xr:uid="{00000000-0005-0000-0000-000075010000}"/>
    <cellStyle name="40% - Accent1 3 2 2" xfId="387" xr:uid="{00000000-0005-0000-0000-000076010000}"/>
    <cellStyle name="40% - Accent1 3 3" xfId="388" xr:uid="{00000000-0005-0000-0000-000077010000}"/>
    <cellStyle name="40% - Accent1 4" xfId="389" xr:uid="{00000000-0005-0000-0000-000078010000}"/>
    <cellStyle name="40% - Accent1 4 2" xfId="390" xr:uid="{00000000-0005-0000-0000-000079010000}"/>
    <cellStyle name="40% - Accent1 4 2 2" xfId="391" xr:uid="{00000000-0005-0000-0000-00007A010000}"/>
    <cellStyle name="40% - Accent1 4 3" xfId="392" xr:uid="{00000000-0005-0000-0000-00007B010000}"/>
    <cellStyle name="40% - Accent1 5" xfId="393" xr:uid="{00000000-0005-0000-0000-00007C010000}"/>
    <cellStyle name="40% - Accent1 5 2" xfId="394" xr:uid="{00000000-0005-0000-0000-00007D010000}"/>
    <cellStyle name="40% - Accent1 5 2 2" xfId="395" xr:uid="{00000000-0005-0000-0000-00007E010000}"/>
    <cellStyle name="40% - Accent1 5 3" xfId="396" xr:uid="{00000000-0005-0000-0000-00007F010000}"/>
    <cellStyle name="40% - Accent1 6" xfId="397" xr:uid="{00000000-0005-0000-0000-000080010000}"/>
    <cellStyle name="40% - Accent1 6 2" xfId="398" xr:uid="{00000000-0005-0000-0000-000081010000}"/>
    <cellStyle name="40% - Accent1 6 2 2" xfId="399" xr:uid="{00000000-0005-0000-0000-000082010000}"/>
    <cellStyle name="40% - Accent1 6 3" xfId="400" xr:uid="{00000000-0005-0000-0000-000083010000}"/>
    <cellStyle name="40% - Accent1 7" xfId="401" xr:uid="{00000000-0005-0000-0000-000084010000}"/>
    <cellStyle name="40% - Accent1 7 2" xfId="402" xr:uid="{00000000-0005-0000-0000-000085010000}"/>
    <cellStyle name="40% - Accent1 7 2 2" xfId="403" xr:uid="{00000000-0005-0000-0000-000086010000}"/>
    <cellStyle name="40% - Accent1 7 3" xfId="404" xr:uid="{00000000-0005-0000-0000-000087010000}"/>
    <cellStyle name="40% - Accent1 8" xfId="405" xr:uid="{00000000-0005-0000-0000-000088010000}"/>
    <cellStyle name="40% - Accent1 8 2" xfId="406" xr:uid="{00000000-0005-0000-0000-000089010000}"/>
    <cellStyle name="40% - Accent1 8 2 2" xfId="407" xr:uid="{00000000-0005-0000-0000-00008A010000}"/>
    <cellStyle name="40% - Accent1 8 3" xfId="408" xr:uid="{00000000-0005-0000-0000-00008B010000}"/>
    <cellStyle name="40% - Accent1 9" xfId="409" xr:uid="{00000000-0005-0000-0000-00008C010000}"/>
    <cellStyle name="40% - Accent1 9 2" xfId="410" xr:uid="{00000000-0005-0000-0000-00008D010000}"/>
    <cellStyle name="40% - Accent1 9 2 2" xfId="411" xr:uid="{00000000-0005-0000-0000-00008E010000}"/>
    <cellStyle name="40% - Accent1 9 3" xfId="412" xr:uid="{00000000-0005-0000-0000-00008F010000}"/>
    <cellStyle name="40% - Accent2 10" xfId="413" xr:uid="{00000000-0005-0000-0000-000090010000}"/>
    <cellStyle name="40% - Accent2 10 2" xfId="414" xr:uid="{00000000-0005-0000-0000-000091010000}"/>
    <cellStyle name="40% - Accent2 10 2 2" xfId="415" xr:uid="{00000000-0005-0000-0000-000092010000}"/>
    <cellStyle name="40% - Accent2 10 3" xfId="416" xr:uid="{00000000-0005-0000-0000-000093010000}"/>
    <cellStyle name="40% - Accent2 11" xfId="417" xr:uid="{00000000-0005-0000-0000-000094010000}"/>
    <cellStyle name="40% - Accent2 11 2" xfId="418" xr:uid="{00000000-0005-0000-0000-000095010000}"/>
    <cellStyle name="40% - Accent2 11 2 2" xfId="419" xr:uid="{00000000-0005-0000-0000-000096010000}"/>
    <cellStyle name="40% - Accent2 11 3" xfId="420" xr:uid="{00000000-0005-0000-0000-000097010000}"/>
    <cellStyle name="40% - Accent2 12" xfId="421" xr:uid="{00000000-0005-0000-0000-000098010000}"/>
    <cellStyle name="40% - Accent2 12 2" xfId="422" xr:uid="{00000000-0005-0000-0000-000099010000}"/>
    <cellStyle name="40% - Accent2 12 2 2" xfId="423" xr:uid="{00000000-0005-0000-0000-00009A010000}"/>
    <cellStyle name="40% - Accent2 12 3" xfId="424" xr:uid="{00000000-0005-0000-0000-00009B010000}"/>
    <cellStyle name="40% - Accent2 13" xfId="425" xr:uid="{00000000-0005-0000-0000-00009C010000}"/>
    <cellStyle name="40% - Accent2 13 2" xfId="426" xr:uid="{00000000-0005-0000-0000-00009D010000}"/>
    <cellStyle name="40% - Accent2 13 2 2" xfId="427" xr:uid="{00000000-0005-0000-0000-00009E010000}"/>
    <cellStyle name="40% - Accent2 13 3" xfId="428" xr:uid="{00000000-0005-0000-0000-00009F010000}"/>
    <cellStyle name="40% - Accent2 14" xfId="429" xr:uid="{00000000-0005-0000-0000-0000A0010000}"/>
    <cellStyle name="40% - Accent2 14 2" xfId="430" xr:uid="{00000000-0005-0000-0000-0000A1010000}"/>
    <cellStyle name="40% - Accent2 14 2 2" xfId="431" xr:uid="{00000000-0005-0000-0000-0000A2010000}"/>
    <cellStyle name="40% - Accent2 14 3" xfId="432" xr:uid="{00000000-0005-0000-0000-0000A3010000}"/>
    <cellStyle name="40% - Accent2 15" xfId="433" xr:uid="{00000000-0005-0000-0000-0000A4010000}"/>
    <cellStyle name="40% - Accent2 15 2" xfId="434" xr:uid="{00000000-0005-0000-0000-0000A5010000}"/>
    <cellStyle name="40% - Accent2 15 2 2" xfId="435" xr:uid="{00000000-0005-0000-0000-0000A6010000}"/>
    <cellStyle name="40% - Accent2 15 3" xfId="436" xr:uid="{00000000-0005-0000-0000-0000A7010000}"/>
    <cellStyle name="40% - Accent2 16" xfId="437" xr:uid="{00000000-0005-0000-0000-0000A8010000}"/>
    <cellStyle name="40% - Accent2 2" xfId="438" xr:uid="{00000000-0005-0000-0000-0000A9010000}"/>
    <cellStyle name="40% - Accent2 2 2" xfId="439" xr:uid="{00000000-0005-0000-0000-0000AA010000}"/>
    <cellStyle name="40% - Accent2 2 2 2" xfId="440" xr:uid="{00000000-0005-0000-0000-0000AB010000}"/>
    <cellStyle name="40% - Accent2 2 3" xfId="441" xr:uid="{00000000-0005-0000-0000-0000AC010000}"/>
    <cellStyle name="40% - Accent2 3" xfId="442" xr:uid="{00000000-0005-0000-0000-0000AD010000}"/>
    <cellStyle name="40% - Accent2 3 2" xfId="443" xr:uid="{00000000-0005-0000-0000-0000AE010000}"/>
    <cellStyle name="40% - Accent2 3 2 2" xfId="444" xr:uid="{00000000-0005-0000-0000-0000AF010000}"/>
    <cellStyle name="40% - Accent2 3 3" xfId="445" xr:uid="{00000000-0005-0000-0000-0000B0010000}"/>
    <cellStyle name="40% - Accent2 4" xfId="446" xr:uid="{00000000-0005-0000-0000-0000B1010000}"/>
    <cellStyle name="40% - Accent2 4 2" xfId="447" xr:uid="{00000000-0005-0000-0000-0000B2010000}"/>
    <cellStyle name="40% - Accent2 4 2 2" xfId="448" xr:uid="{00000000-0005-0000-0000-0000B3010000}"/>
    <cellStyle name="40% - Accent2 4 3" xfId="449" xr:uid="{00000000-0005-0000-0000-0000B4010000}"/>
    <cellStyle name="40% - Accent2 5" xfId="450" xr:uid="{00000000-0005-0000-0000-0000B5010000}"/>
    <cellStyle name="40% - Accent2 5 2" xfId="451" xr:uid="{00000000-0005-0000-0000-0000B6010000}"/>
    <cellStyle name="40% - Accent2 5 2 2" xfId="452" xr:uid="{00000000-0005-0000-0000-0000B7010000}"/>
    <cellStyle name="40% - Accent2 5 3" xfId="453" xr:uid="{00000000-0005-0000-0000-0000B8010000}"/>
    <cellStyle name="40% - Accent2 6" xfId="454" xr:uid="{00000000-0005-0000-0000-0000B9010000}"/>
    <cellStyle name="40% - Accent2 6 2" xfId="455" xr:uid="{00000000-0005-0000-0000-0000BA010000}"/>
    <cellStyle name="40% - Accent2 6 2 2" xfId="456" xr:uid="{00000000-0005-0000-0000-0000BB010000}"/>
    <cellStyle name="40% - Accent2 6 3" xfId="457" xr:uid="{00000000-0005-0000-0000-0000BC010000}"/>
    <cellStyle name="40% - Accent2 7" xfId="458" xr:uid="{00000000-0005-0000-0000-0000BD010000}"/>
    <cellStyle name="40% - Accent2 7 2" xfId="459" xr:uid="{00000000-0005-0000-0000-0000BE010000}"/>
    <cellStyle name="40% - Accent2 7 2 2" xfId="460" xr:uid="{00000000-0005-0000-0000-0000BF010000}"/>
    <cellStyle name="40% - Accent2 7 3" xfId="461" xr:uid="{00000000-0005-0000-0000-0000C0010000}"/>
    <cellStyle name="40% - Accent2 8" xfId="462" xr:uid="{00000000-0005-0000-0000-0000C1010000}"/>
    <cellStyle name="40% - Accent2 8 2" xfId="463" xr:uid="{00000000-0005-0000-0000-0000C2010000}"/>
    <cellStyle name="40% - Accent2 8 2 2" xfId="464" xr:uid="{00000000-0005-0000-0000-0000C3010000}"/>
    <cellStyle name="40% - Accent2 8 3" xfId="465" xr:uid="{00000000-0005-0000-0000-0000C4010000}"/>
    <cellStyle name="40% - Accent2 9" xfId="466" xr:uid="{00000000-0005-0000-0000-0000C5010000}"/>
    <cellStyle name="40% - Accent2 9 2" xfId="467" xr:uid="{00000000-0005-0000-0000-0000C6010000}"/>
    <cellStyle name="40% - Accent2 9 2 2" xfId="468" xr:uid="{00000000-0005-0000-0000-0000C7010000}"/>
    <cellStyle name="40% - Accent2 9 3" xfId="469" xr:uid="{00000000-0005-0000-0000-0000C8010000}"/>
    <cellStyle name="40% - Accent3 10" xfId="470" xr:uid="{00000000-0005-0000-0000-0000C9010000}"/>
    <cellStyle name="40% - Accent3 10 2" xfId="471" xr:uid="{00000000-0005-0000-0000-0000CA010000}"/>
    <cellStyle name="40% - Accent3 10 2 2" xfId="472" xr:uid="{00000000-0005-0000-0000-0000CB010000}"/>
    <cellStyle name="40% - Accent3 10 3" xfId="473" xr:uid="{00000000-0005-0000-0000-0000CC010000}"/>
    <cellStyle name="40% - Accent3 11" xfId="474" xr:uid="{00000000-0005-0000-0000-0000CD010000}"/>
    <cellStyle name="40% - Accent3 11 2" xfId="475" xr:uid="{00000000-0005-0000-0000-0000CE010000}"/>
    <cellStyle name="40% - Accent3 11 2 2" xfId="476" xr:uid="{00000000-0005-0000-0000-0000CF010000}"/>
    <cellStyle name="40% - Accent3 11 3" xfId="477" xr:uid="{00000000-0005-0000-0000-0000D0010000}"/>
    <cellStyle name="40% - Accent3 12" xfId="478" xr:uid="{00000000-0005-0000-0000-0000D1010000}"/>
    <cellStyle name="40% - Accent3 12 2" xfId="479" xr:uid="{00000000-0005-0000-0000-0000D2010000}"/>
    <cellStyle name="40% - Accent3 12 2 2" xfId="480" xr:uid="{00000000-0005-0000-0000-0000D3010000}"/>
    <cellStyle name="40% - Accent3 12 3" xfId="481" xr:uid="{00000000-0005-0000-0000-0000D4010000}"/>
    <cellStyle name="40% - Accent3 13" xfId="482" xr:uid="{00000000-0005-0000-0000-0000D5010000}"/>
    <cellStyle name="40% - Accent3 13 2" xfId="483" xr:uid="{00000000-0005-0000-0000-0000D6010000}"/>
    <cellStyle name="40% - Accent3 13 2 2" xfId="484" xr:uid="{00000000-0005-0000-0000-0000D7010000}"/>
    <cellStyle name="40% - Accent3 13 3" xfId="485" xr:uid="{00000000-0005-0000-0000-0000D8010000}"/>
    <cellStyle name="40% - Accent3 14" xfId="486" xr:uid="{00000000-0005-0000-0000-0000D9010000}"/>
    <cellStyle name="40% - Accent3 14 2" xfId="487" xr:uid="{00000000-0005-0000-0000-0000DA010000}"/>
    <cellStyle name="40% - Accent3 14 2 2" xfId="488" xr:uid="{00000000-0005-0000-0000-0000DB010000}"/>
    <cellStyle name="40% - Accent3 14 3" xfId="489" xr:uid="{00000000-0005-0000-0000-0000DC010000}"/>
    <cellStyle name="40% - Accent3 15" xfId="490" xr:uid="{00000000-0005-0000-0000-0000DD010000}"/>
    <cellStyle name="40% - Accent3 15 2" xfId="491" xr:uid="{00000000-0005-0000-0000-0000DE010000}"/>
    <cellStyle name="40% - Accent3 15 2 2" xfId="492" xr:uid="{00000000-0005-0000-0000-0000DF010000}"/>
    <cellStyle name="40% - Accent3 15 3" xfId="493" xr:uid="{00000000-0005-0000-0000-0000E0010000}"/>
    <cellStyle name="40% - Accent3 16" xfId="494" xr:uid="{00000000-0005-0000-0000-0000E1010000}"/>
    <cellStyle name="40% - Accent3 2" xfId="495" xr:uid="{00000000-0005-0000-0000-0000E2010000}"/>
    <cellStyle name="40% - Accent3 2 2" xfId="496" xr:uid="{00000000-0005-0000-0000-0000E3010000}"/>
    <cellStyle name="40% - Accent3 2 2 2" xfId="497" xr:uid="{00000000-0005-0000-0000-0000E4010000}"/>
    <cellStyle name="40% - Accent3 2 3" xfId="498" xr:uid="{00000000-0005-0000-0000-0000E5010000}"/>
    <cellStyle name="40% - Accent3 3" xfId="499" xr:uid="{00000000-0005-0000-0000-0000E6010000}"/>
    <cellStyle name="40% - Accent3 3 2" xfId="500" xr:uid="{00000000-0005-0000-0000-0000E7010000}"/>
    <cellStyle name="40% - Accent3 3 2 2" xfId="501" xr:uid="{00000000-0005-0000-0000-0000E8010000}"/>
    <cellStyle name="40% - Accent3 3 3" xfId="502" xr:uid="{00000000-0005-0000-0000-0000E9010000}"/>
    <cellStyle name="40% - Accent3 4" xfId="503" xr:uid="{00000000-0005-0000-0000-0000EA010000}"/>
    <cellStyle name="40% - Accent3 4 2" xfId="504" xr:uid="{00000000-0005-0000-0000-0000EB010000}"/>
    <cellStyle name="40% - Accent3 4 2 2" xfId="505" xr:uid="{00000000-0005-0000-0000-0000EC010000}"/>
    <cellStyle name="40% - Accent3 4 3" xfId="506" xr:uid="{00000000-0005-0000-0000-0000ED010000}"/>
    <cellStyle name="40% - Accent3 5" xfId="507" xr:uid="{00000000-0005-0000-0000-0000EE010000}"/>
    <cellStyle name="40% - Accent3 5 2" xfId="508" xr:uid="{00000000-0005-0000-0000-0000EF010000}"/>
    <cellStyle name="40% - Accent3 5 2 2" xfId="509" xr:uid="{00000000-0005-0000-0000-0000F0010000}"/>
    <cellStyle name="40% - Accent3 5 3" xfId="510" xr:uid="{00000000-0005-0000-0000-0000F1010000}"/>
    <cellStyle name="40% - Accent3 6" xfId="511" xr:uid="{00000000-0005-0000-0000-0000F2010000}"/>
    <cellStyle name="40% - Accent3 6 2" xfId="512" xr:uid="{00000000-0005-0000-0000-0000F3010000}"/>
    <cellStyle name="40% - Accent3 6 2 2" xfId="513" xr:uid="{00000000-0005-0000-0000-0000F4010000}"/>
    <cellStyle name="40% - Accent3 6 3" xfId="514" xr:uid="{00000000-0005-0000-0000-0000F5010000}"/>
    <cellStyle name="40% - Accent3 7" xfId="515" xr:uid="{00000000-0005-0000-0000-0000F6010000}"/>
    <cellStyle name="40% - Accent3 7 2" xfId="516" xr:uid="{00000000-0005-0000-0000-0000F7010000}"/>
    <cellStyle name="40% - Accent3 7 2 2" xfId="517" xr:uid="{00000000-0005-0000-0000-0000F8010000}"/>
    <cellStyle name="40% - Accent3 7 3" xfId="518" xr:uid="{00000000-0005-0000-0000-0000F9010000}"/>
    <cellStyle name="40% - Accent3 8" xfId="519" xr:uid="{00000000-0005-0000-0000-0000FA010000}"/>
    <cellStyle name="40% - Accent3 8 2" xfId="520" xr:uid="{00000000-0005-0000-0000-0000FB010000}"/>
    <cellStyle name="40% - Accent3 8 2 2" xfId="521" xr:uid="{00000000-0005-0000-0000-0000FC010000}"/>
    <cellStyle name="40% - Accent3 8 3" xfId="522" xr:uid="{00000000-0005-0000-0000-0000FD010000}"/>
    <cellStyle name="40% - Accent3 9" xfId="523" xr:uid="{00000000-0005-0000-0000-0000FE010000}"/>
    <cellStyle name="40% - Accent3 9 2" xfId="524" xr:uid="{00000000-0005-0000-0000-0000FF010000}"/>
    <cellStyle name="40% - Accent3 9 2 2" xfId="525" xr:uid="{00000000-0005-0000-0000-000000020000}"/>
    <cellStyle name="40% - Accent3 9 3" xfId="526" xr:uid="{00000000-0005-0000-0000-000001020000}"/>
    <cellStyle name="40% - Accent4 10" xfId="527" xr:uid="{00000000-0005-0000-0000-000002020000}"/>
    <cellStyle name="40% - Accent4 10 2" xfId="528" xr:uid="{00000000-0005-0000-0000-000003020000}"/>
    <cellStyle name="40% - Accent4 10 2 2" xfId="529" xr:uid="{00000000-0005-0000-0000-000004020000}"/>
    <cellStyle name="40% - Accent4 10 3" xfId="530" xr:uid="{00000000-0005-0000-0000-000005020000}"/>
    <cellStyle name="40% - Accent4 11" xfId="531" xr:uid="{00000000-0005-0000-0000-000006020000}"/>
    <cellStyle name="40% - Accent4 11 2" xfId="532" xr:uid="{00000000-0005-0000-0000-000007020000}"/>
    <cellStyle name="40% - Accent4 11 2 2" xfId="533" xr:uid="{00000000-0005-0000-0000-000008020000}"/>
    <cellStyle name="40% - Accent4 11 3" xfId="534" xr:uid="{00000000-0005-0000-0000-000009020000}"/>
    <cellStyle name="40% - Accent4 12" xfId="535" xr:uid="{00000000-0005-0000-0000-00000A020000}"/>
    <cellStyle name="40% - Accent4 12 2" xfId="536" xr:uid="{00000000-0005-0000-0000-00000B020000}"/>
    <cellStyle name="40% - Accent4 12 2 2" xfId="537" xr:uid="{00000000-0005-0000-0000-00000C020000}"/>
    <cellStyle name="40% - Accent4 12 3" xfId="538" xr:uid="{00000000-0005-0000-0000-00000D020000}"/>
    <cellStyle name="40% - Accent4 13" xfId="539" xr:uid="{00000000-0005-0000-0000-00000E020000}"/>
    <cellStyle name="40% - Accent4 13 2" xfId="540" xr:uid="{00000000-0005-0000-0000-00000F020000}"/>
    <cellStyle name="40% - Accent4 13 2 2" xfId="541" xr:uid="{00000000-0005-0000-0000-000010020000}"/>
    <cellStyle name="40% - Accent4 13 3" xfId="542" xr:uid="{00000000-0005-0000-0000-000011020000}"/>
    <cellStyle name="40% - Accent4 14" xfId="543" xr:uid="{00000000-0005-0000-0000-000012020000}"/>
    <cellStyle name="40% - Accent4 14 2" xfId="544" xr:uid="{00000000-0005-0000-0000-000013020000}"/>
    <cellStyle name="40% - Accent4 14 2 2" xfId="545" xr:uid="{00000000-0005-0000-0000-000014020000}"/>
    <cellStyle name="40% - Accent4 14 3" xfId="546" xr:uid="{00000000-0005-0000-0000-000015020000}"/>
    <cellStyle name="40% - Accent4 15" xfId="547" xr:uid="{00000000-0005-0000-0000-000016020000}"/>
    <cellStyle name="40% - Accent4 15 2" xfId="548" xr:uid="{00000000-0005-0000-0000-000017020000}"/>
    <cellStyle name="40% - Accent4 15 2 2" xfId="549" xr:uid="{00000000-0005-0000-0000-000018020000}"/>
    <cellStyle name="40% - Accent4 15 3" xfId="550" xr:uid="{00000000-0005-0000-0000-000019020000}"/>
    <cellStyle name="40% - Accent4 16" xfId="551" xr:uid="{00000000-0005-0000-0000-00001A020000}"/>
    <cellStyle name="40% - Accent4 2" xfId="552" xr:uid="{00000000-0005-0000-0000-00001B020000}"/>
    <cellStyle name="40% - Accent4 2 2" xfId="553" xr:uid="{00000000-0005-0000-0000-00001C020000}"/>
    <cellStyle name="40% - Accent4 2 2 2" xfId="554" xr:uid="{00000000-0005-0000-0000-00001D020000}"/>
    <cellStyle name="40% - Accent4 2 3" xfId="555" xr:uid="{00000000-0005-0000-0000-00001E020000}"/>
    <cellStyle name="40% - Accent4 3" xfId="556" xr:uid="{00000000-0005-0000-0000-00001F020000}"/>
    <cellStyle name="40% - Accent4 3 2" xfId="557" xr:uid="{00000000-0005-0000-0000-000020020000}"/>
    <cellStyle name="40% - Accent4 3 2 2" xfId="558" xr:uid="{00000000-0005-0000-0000-000021020000}"/>
    <cellStyle name="40% - Accent4 3 3" xfId="559" xr:uid="{00000000-0005-0000-0000-000022020000}"/>
    <cellStyle name="40% - Accent4 4" xfId="560" xr:uid="{00000000-0005-0000-0000-000023020000}"/>
    <cellStyle name="40% - Accent4 4 2" xfId="561" xr:uid="{00000000-0005-0000-0000-000024020000}"/>
    <cellStyle name="40% - Accent4 4 2 2" xfId="562" xr:uid="{00000000-0005-0000-0000-000025020000}"/>
    <cellStyle name="40% - Accent4 4 3" xfId="563" xr:uid="{00000000-0005-0000-0000-000026020000}"/>
    <cellStyle name="40% - Accent4 5" xfId="564" xr:uid="{00000000-0005-0000-0000-000027020000}"/>
    <cellStyle name="40% - Accent4 5 2" xfId="565" xr:uid="{00000000-0005-0000-0000-000028020000}"/>
    <cellStyle name="40% - Accent4 5 2 2" xfId="566" xr:uid="{00000000-0005-0000-0000-000029020000}"/>
    <cellStyle name="40% - Accent4 5 3" xfId="567" xr:uid="{00000000-0005-0000-0000-00002A020000}"/>
    <cellStyle name="40% - Accent4 6" xfId="568" xr:uid="{00000000-0005-0000-0000-00002B020000}"/>
    <cellStyle name="40% - Accent4 6 2" xfId="569" xr:uid="{00000000-0005-0000-0000-00002C020000}"/>
    <cellStyle name="40% - Accent4 6 2 2" xfId="570" xr:uid="{00000000-0005-0000-0000-00002D020000}"/>
    <cellStyle name="40% - Accent4 6 3" xfId="571" xr:uid="{00000000-0005-0000-0000-00002E020000}"/>
    <cellStyle name="40% - Accent4 7" xfId="572" xr:uid="{00000000-0005-0000-0000-00002F020000}"/>
    <cellStyle name="40% - Accent4 7 2" xfId="573" xr:uid="{00000000-0005-0000-0000-000030020000}"/>
    <cellStyle name="40% - Accent4 7 2 2" xfId="574" xr:uid="{00000000-0005-0000-0000-000031020000}"/>
    <cellStyle name="40% - Accent4 7 3" xfId="575" xr:uid="{00000000-0005-0000-0000-000032020000}"/>
    <cellStyle name="40% - Accent4 8" xfId="576" xr:uid="{00000000-0005-0000-0000-000033020000}"/>
    <cellStyle name="40% - Accent4 8 2" xfId="577" xr:uid="{00000000-0005-0000-0000-000034020000}"/>
    <cellStyle name="40% - Accent4 8 2 2" xfId="578" xr:uid="{00000000-0005-0000-0000-000035020000}"/>
    <cellStyle name="40% - Accent4 8 3" xfId="579" xr:uid="{00000000-0005-0000-0000-000036020000}"/>
    <cellStyle name="40% - Accent4 9" xfId="580" xr:uid="{00000000-0005-0000-0000-000037020000}"/>
    <cellStyle name="40% - Accent4 9 2" xfId="581" xr:uid="{00000000-0005-0000-0000-000038020000}"/>
    <cellStyle name="40% - Accent4 9 2 2" xfId="582" xr:uid="{00000000-0005-0000-0000-000039020000}"/>
    <cellStyle name="40% - Accent4 9 3" xfId="583" xr:uid="{00000000-0005-0000-0000-00003A020000}"/>
    <cellStyle name="40% - Accent5 10" xfId="584" xr:uid="{00000000-0005-0000-0000-00003B020000}"/>
    <cellStyle name="40% - Accent5 10 2" xfId="585" xr:uid="{00000000-0005-0000-0000-00003C020000}"/>
    <cellStyle name="40% - Accent5 10 2 2" xfId="586" xr:uid="{00000000-0005-0000-0000-00003D020000}"/>
    <cellStyle name="40% - Accent5 10 3" xfId="587" xr:uid="{00000000-0005-0000-0000-00003E020000}"/>
    <cellStyle name="40% - Accent5 11" xfId="588" xr:uid="{00000000-0005-0000-0000-00003F020000}"/>
    <cellStyle name="40% - Accent5 11 2" xfId="589" xr:uid="{00000000-0005-0000-0000-000040020000}"/>
    <cellStyle name="40% - Accent5 11 2 2" xfId="590" xr:uid="{00000000-0005-0000-0000-000041020000}"/>
    <cellStyle name="40% - Accent5 11 3" xfId="591" xr:uid="{00000000-0005-0000-0000-000042020000}"/>
    <cellStyle name="40% - Accent5 12" xfId="592" xr:uid="{00000000-0005-0000-0000-000043020000}"/>
    <cellStyle name="40% - Accent5 12 2" xfId="593" xr:uid="{00000000-0005-0000-0000-000044020000}"/>
    <cellStyle name="40% - Accent5 12 2 2" xfId="594" xr:uid="{00000000-0005-0000-0000-000045020000}"/>
    <cellStyle name="40% - Accent5 12 3" xfId="595" xr:uid="{00000000-0005-0000-0000-000046020000}"/>
    <cellStyle name="40% - Accent5 13" xfId="596" xr:uid="{00000000-0005-0000-0000-000047020000}"/>
    <cellStyle name="40% - Accent5 13 2" xfId="597" xr:uid="{00000000-0005-0000-0000-000048020000}"/>
    <cellStyle name="40% - Accent5 13 2 2" xfId="598" xr:uid="{00000000-0005-0000-0000-000049020000}"/>
    <cellStyle name="40% - Accent5 13 3" xfId="599" xr:uid="{00000000-0005-0000-0000-00004A020000}"/>
    <cellStyle name="40% - Accent5 14" xfId="600" xr:uid="{00000000-0005-0000-0000-00004B020000}"/>
    <cellStyle name="40% - Accent5 14 2" xfId="601" xr:uid="{00000000-0005-0000-0000-00004C020000}"/>
    <cellStyle name="40% - Accent5 14 2 2" xfId="602" xr:uid="{00000000-0005-0000-0000-00004D020000}"/>
    <cellStyle name="40% - Accent5 14 3" xfId="603" xr:uid="{00000000-0005-0000-0000-00004E020000}"/>
    <cellStyle name="40% - Accent5 15" xfId="604" xr:uid="{00000000-0005-0000-0000-00004F020000}"/>
    <cellStyle name="40% - Accent5 15 2" xfId="605" xr:uid="{00000000-0005-0000-0000-000050020000}"/>
    <cellStyle name="40% - Accent5 15 2 2" xfId="606" xr:uid="{00000000-0005-0000-0000-000051020000}"/>
    <cellStyle name="40% - Accent5 15 3" xfId="607" xr:uid="{00000000-0005-0000-0000-000052020000}"/>
    <cellStyle name="40% - Accent5 16" xfId="608" xr:uid="{00000000-0005-0000-0000-000053020000}"/>
    <cellStyle name="40% - Accent5 2" xfId="609" xr:uid="{00000000-0005-0000-0000-000054020000}"/>
    <cellStyle name="40% - Accent5 2 2" xfId="610" xr:uid="{00000000-0005-0000-0000-000055020000}"/>
    <cellStyle name="40% - Accent5 2 2 2" xfId="611" xr:uid="{00000000-0005-0000-0000-000056020000}"/>
    <cellStyle name="40% - Accent5 2 3" xfId="612" xr:uid="{00000000-0005-0000-0000-000057020000}"/>
    <cellStyle name="40% - Accent5 3" xfId="613" xr:uid="{00000000-0005-0000-0000-000058020000}"/>
    <cellStyle name="40% - Accent5 3 2" xfId="614" xr:uid="{00000000-0005-0000-0000-000059020000}"/>
    <cellStyle name="40% - Accent5 3 2 2" xfId="615" xr:uid="{00000000-0005-0000-0000-00005A020000}"/>
    <cellStyle name="40% - Accent5 3 3" xfId="616" xr:uid="{00000000-0005-0000-0000-00005B020000}"/>
    <cellStyle name="40% - Accent5 4" xfId="617" xr:uid="{00000000-0005-0000-0000-00005C020000}"/>
    <cellStyle name="40% - Accent5 4 2" xfId="618" xr:uid="{00000000-0005-0000-0000-00005D020000}"/>
    <cellStyle name="40% - Accent5 4 2 2" xfId="619" xr:uid="{00000000-0005-0000-0000-00005E020000}"/>
    <cellStyle name="40% - Accent5 4 3" xfId="620" xr:uid="{00000000-0005-0000-0000-00005F020000}"/>
    <cellStyle name="40% - Accent5 5" xfId="621" xr:uid="{00000000-0005-0000-0000-000060020000}"/>
    <cellStyle name="40% - Accent5 5 2" xfId="622" xr:uid="{00000000-0005-0000-0000-000061020000}"/>
    <cellStyle name="40% - Accent5 5 2 2" xfId="623" xr:uid="{00000000-0005-0000-0000-000062020000}"/>
    <cellStyle name="40% - Accent5 5 3" xfId="624" xr:uid="{00000000-0005-0000-0000-000063020000}"/>
    <cellStyle name="40% - Accent5 6" xfId="625" xr:uid="{00000000-0005-0000-0000-000064020000}"/>
    <cellStyle name="40% - Accent5 6 2" xfId="626" xr:uid="{00000000-0005-0000-0000-000065020000}"/>
    <cellStyle name="40% - Accent5 6 2 2" xfId="627" xr:uid="{00000000-0005-0000-0000-000066020000}"/>
    <cellStyle name="40% - Accent5 6 3" xfId="628" xr:uid="{00000000-0005-0000-0000-000067020000}"/>
    <cellStyle name="40% - Accent5 7" xfId="629" xr:uid="{00000000-0005-0000-0000-000068020000}"/>
    <cellStyle name="40% - Accent5 7 2" xfId="630" xr:uid="{00000000-0005-0000-0000-000069020000}"/>
    <cellStyle name="40% - Accent5 7 2 2" xfId="631" xr:uid="{00000000-0005-0000-0000-00006A020000}"/>
    <cellStyle name="40% - Accent5 7 3" xfId="632" xr:uid="{00000000-0005-0000-0000-00006B020000}"/>
    <cellStyle name="40% - Accent5 8" xfId="633" xr:uid="{00000000-0005-0000-0000-00006C020000}"/>
    <cellStyle name="40% - Accent5 8 2" xfId="634" xr:uid="{00000000-0005-0000-0000-00006D020000}"/>
    <cellStyle name="40% - Accent5 8 2 2" xfId="635" xr:uid="{00000000-0005-0000-0000-00006E020000}"/>
    <cellStyle name="40% - Accent5 8 3" xfId="636" xr:uid="{00000000-0005-0000-0000-00006F020000}"/>
    <cellStyle name="40% - Accent5 9" xfId="637" xr:uid="{00000000-0005-0000-0000-000070020000}"/>
    <cellStyle name="40% - Accent5 9 2" xfId="638" xr:uid="{00000000-0005-0000-0000-000071020000}"/>
    <cellStyle name="40% - Accent5 9 2 2" xfId="639" xr:uid="{00000000-0005-0000-0000-000072020000}"/>
    <cellStyle name="40% - Accent5 9 3" xfId="640" xr:uid="{00000000-0005-0000-0000-000073020000}"/>
    <cellStyle name="40% - Accent6 10" xfId="641" xr:uid="{00000000-0005-0000-0000-000074020000}"/>
    <cellStyle name="40% - Accent6 10 2" xfId="642" xr:uid="{00000000-0005-0000-0000-000075020000}"/>
    <cellStyle name="40% - Accent6 10 2 2" xfId="643" xr:uid="{00000000-0005-0000-0000-000076020000}"/>
    <cellStyle name="40% - Accent6 10 3" xfId="644" xr:uid="{00000000-0005-0000-0000-000077020000}"/>
    <cellStyle name="40% - Accent6 11" xfId="645" xr:uid="{00000000-0005-0000-0000-000078020000}"/>
    <cellStyle name="40% - Accent6 11 2" xfId="646" xr:uid="{00000000-0005-0000-0000-000079020000}"/>
    <cellStyle name="40% - Accent6 11 2 2" xfId="647" xr:uid="{00000000-0005-0000-0000-00007A020000}"/>
    <cellStyle name="40% - Accent6 11 3" xfId="648" xr:uid="{00000000-0005-0000-0000-00007B020000}"/>
    <cellStyle name="40% - Accent6 12" xfId="649" xr:uid="{00000000-0005-0000-0000-00007C020000}"/>
    <cellStyle name="40% - Accent6 12 2" xfId="650" xr:uid="{00000000-0005-0000-0000-00007D020000}"/>
    <cellStyle name="40% - Accent6 12 2 2" xfId="651" xr:uid="{00000000-0005-0000-0000-00007E020000}"/>
    <cellStyle name="40% - Accent6 12 3" xfId="652" xr:uid="{00000000-0005-0000-0000-00007F020000}"/>
    <cellStyle name="40% - Accent6 13" xfId="653" xr:uid="{00000000-0005-0000-0000-000080020000}"/>
    <cellStyle name="40% - Accent6 13 2" xfId="654" xr:uid="{00000000-0005-0000-0000-000081020000}"/>
    <cellStyle name="40% - Accent6 13 2 2" xfId="655" xr:uid="{00000000-0005-0000-0000-000082020000}"/>
    <cellStyle name="40% - Accent6 13 3" xfId="656" xr:uid="{00000000-0005-0000-0000-000083020000}"/>
    <cellStyle name="40% - Accent6 14" xfId="657" xr:uid="{00000000-0005-0000-0000-000084020000}"/>
    <cellStyle name="40% - Accent6 14 2" xfId="658" xr:uid="{00000000-0005-0000-0000-000085020000}"/>
    <cellStyle name="40% - Accent6 14 2 2" xfId="659" xr:uid="{00000000-0005-0000-0000-000086020000}"/>
    <cellStyle name="40% - Accent6 14 3" xfId="660" xr:uid="{00000000-0005-0000-0000-000087020000}"/>
    <cellStyle name="40% - Accent6 15" xfId="661" xr:uid="{00000000-0005-0000-0000-000088020000}"/>
    <cellStyle name="40% - Accent6 15 2" xfId="662" xr:uid="{00000000-0005-0000-0000-000089020000}"/>
    <cellStyle name="40% - Accent6 15 2 2" xfId="663" xr:uid="{00000000-0005-0000-0000-00008A020000}"/>
    <cellStyle name="40% - Accent6 15 3" xfId="664" xr:uid="{00000000-0005-0000-0000-00008B020000}"/>
    <cellStyle name="40% - Accent6 16" xfId="665" xr:uid="{00000000-0005-0000-0000-00008C020000}"/>
    <cellStyle name="40% - Accent6 2" xfId="666" xr:uid="{00000000-0005-0000-0000-00008D020000}"/>
    <cellStyle name="40% - Accent6 2 2" xfId="667" xr:uid="{00000000-0005-0000-0000-00008E020000}"/>
    <cellStyle name="40% - Accent6 2 2 2" xfId="668" xr:uid="{00000000-0005-0000-0000-00008F020000}"/>
    <cellStyle name="40% - Accent6 2 3" xfId="669" xr:uid="{00000000-0005-0000-0000-000090020000}"/>
    <cellStyle name="40% - Accent6 3" xfId="670" xr:uid="{00000000-0005-0000-0000-000091020000}"/>
    <cellStyle name="40% - Accent6 3 2" xfId="671" xr:uid="{00000000-0005-0000-0000-000092020000}"/>
    <cellStyle name="40% - Accent6 3 2 2" xfId="672" xr:uid="{00000000-0005-0000-0000-000093020000}"/>
    <cellStyle name="40% - Accent6 3 3" xfId="673" xr:uid="{00000000-0005-0000-0000-000094020000}"/>
    <cellStyle name="40% - Accent6 4" xfId="674" xr:uid="{00000000-0005-0000-0000-000095020000}"/>
    <cellStyle name="40% - Accent6 4 2" xfId="675" xr:uid="{00000000-0005-0000-0000-000096020000}"/>
    <cellStyle name="40% - Accent6 4 2 2" xfId="676" xr:uid="{00000000-0005-0000-0000-000097020000}"/>
    <cellStyle name="40% - Accent6 4 3" xfId="677" xr:uid="{00000000-0005-0000-0000-000098020000}"/>
    <cellStyle name="40% - Accent6 5" xfId="678" xr:uid="{00000000-0005-0000-0000-000099020000}"/>
    <cellStyle name="40% - Accent6 5 2" xfId="679" xr:uid="{00000000-0005-0000-0000-00009A020000}"/>
    <cellStyle name="40% - Accent6 5 2 2" xfId="680" xr:uid="{00000000-0005-0000-0000-00009B020000}"/>
    <cellStyle name="40% - Accent6 5 3" xfId="681" xr:uid="{00000000-0005-0000-0000-00009C020000}"/>
    <cellStyle name="40% - Accent6 6" xfId="682" xr:uid="{00000000-0005-0000-0000-00009D020000}"/>
    <cellStyle name="40% - Accent6 6 2" xfId="683" xr:uid="{00000000-0005-0000-0000-00009E020000}"/>
    <cellStyle name="40% - Accent6 6 2 2" xfId="684" xr:uid="{00000000-0005-0000-0000-00009F020000}"/>
    <cellStyle name="40% - Accent6 6 3" xfId="685" xr:uid="{00000000-0005-0000-0000-0000A0020000}"/>
    <cellStyle name="40% - Accent6 7" xfId="686" xr:uid="{00000000-0005-0000-0000-0000A1020000}"/>
    <cellStyle name="40% - Accent6 7 2" xfId="687" xr:uid="{00000000-0005-0000-0000-0000A2020000}"/>
    <cellStyle name="40% - Accent6 7 2 2" xfId="688" xr:uid="{00000000-0005-0000-0000-0000A3020000}"/>
    <cellStyle name="40% - Accent6 7 3" xfId="689" xr:uid="{00000000-0005-0000-0000-0000A4020000}"/>
    <cellStyle name="40% - Accent6 8" xfId="690" xr:uid="{00000000-0005-0000-0000-0000A5020000}"/>
    <cellStyle name="40% - Accent6 8 2" xfId="691" xr:uid="{00000000-0005-0000-0000-0000A6020000}"/>
    <cellStyle name="40% - Accent6 8 2 2" xfId="692" xr:uid="{00000000-0005-0000-0000-0000A7020000}"/>
    <cellStyle name="40% - Accent6 8 3" xfId="693" xr:uid="{00000000-0005-0000-0000-0000A8020000}"/>
    <cellStyle name="40% - Accent6 9" xfId="694" xr:uid="{00000000-0005-0000-0000-0000A9020000}"/>
    <cellStyle name="40% - Accent6 9 2" xfId="695" xr:uid="{00000000-0005-0000-0000-0000AA020000}"/>
    <cellStyle name="40% - Accent6 9 2 2" xfId="696" xr:uid="{00000000-0005-0000-0000-0000AB020000}"/>
    <cellStyle name="40% - Accent6 9 3" xfId="697" xr:uid="{00000000-0005-0000-0000-0000AC020000}"/>
    <cellStyle name="60% - Accent1 10" xfId="698" xr:uid="{00000000-0005-0000-0000-0000AD020000}"/>
    <cellStyle name="60% - Accent1 11" xfId="699" xr:uid="{00000000-0005-0000-0000-0000AE020000}"/>
    <cellStyle name="60% - Accent1 12" xfId="700" xr:uid="{00000000-0005-0000-0000-0000AF020000}"/>
    <cellStyle name="60% - Accent1 13" xfId="701" xr:uid="{00000000-0005-0000-0000-0000B0020000}"/>
    <cellStyle name="60% - Accent1 14" xfId="702" xr:uid="{00000000-0005-0000-0000-0000B1020000}"/>
    <cellStyle name="60% - Accent1 15" xfId="703" xr:uid="{00000000-0005-0000-0000-0000B2020000}"/>
    <cellStyle name="60% - Accent1 16" xfId="704" xr:uid="{00000000-0005-0000-0000-0000B3020000}"/>
    <cellStyle name="60% - Accent1 2" xfId="705" xr:uid="{00000000-0005-0000-0000-0000B4020000}"/>
    <cellStyle name="60% - Accent1 3" xfId="706" xr:uid="{00000000-0005-0000-0000-0000B5020000}"/>
    <cellStyle name="60% - Accent1 4" xfId="707" xr:uid="{00000000-0005-0000-0000-0000B6020000}"/>
    <cellStyle name="60% - Accent1 5" xfId="708" xr:uid="{00000000-0005-0000-0000-0000B7020000}"/>
    <cellStyle name="60% - Accent1 6" xfId="709" xr:uid="{00000000-0005-0000-0000-0000B8020000}"/>
    <cellStyle name="60% - Accent1 7" xfId="710" xr:uid="{00000000-0005-0000-0000-0000B9020000}"/>
    <cellStyle name="60% - Accent1 8" xfId="711" xr:uid="{00000000-0005-0000-0000-0000BA020000}"/>
    <cellStyle name="60% - Accent1 9" xfId="712" xr:uid="{00000000-0005-0000-0000-0000BB020000}"/>
    <cellStyle name="60% - Accent2 10" xfId="713" xr:uid="{00000000-0005-0000-0000-0000BC020000}"/>
    <cellStyle name="60% - Accent2 11" xfId="714" xr:uid="{00000000-0005-0000-0000-0000BD020000}"/>
    <cellStyle name="60% - Accent2 12" xfId="715" xr:uid="{00000000-0005-0000-0000-0000BE020000}"/>
    <cellStyle name="60% - Accent2 13" xfId="716" xr:uid="{00000000-0005-0000-0000-0000BF020000}"/>
    <cellStyle name="60% - Accent2 14" xfId="717" xr:uid="{00000000-0005-0000-0000-0000C0020000}"/>
    <cellStyle name="60% - Accent2 15" xfId="718" xr:uid="{00000000-0005-0000-0000-0000C1020000}"/>
    <cellStyle name="60% - Accent2 16" xfId="719" xr:uid="{00000000-0005-0000-0000-0000C2020000}"/>
    <cellStyle name="60% - Accent2 2" xfId="720" xr:uid="{00000000-0005-0000-0000-0000C3020000}"/>
    <cellStyle name="60% - Accent2 3" xfId="721" xr:uid="{00000000-0005-0000-0000-0000C4020000}"/>
    <cellStyle name="60% - Accent2 4" xfId="722" xr:uid="{00000000-0005-0000-0000-0000C5020000}"/>
    <cellStyle name="60% - Accent2 5" xfId="723" xr:uid="{00000000-0005-0000-0000-0000C6020000}"/>
    <cellStyle name="60% - Accent2 6" xfId="724" xr:uid="{00000000-0005-0000-0000-0000C7020000}"/>
    <cellStyle name="60% - Accent2 7" xfId="725" xr:uid="{00000000-0005-0000-0000-0000C8020000}"/>
    <cellStyle name="60% - Accent2 8" xfId="726" xr:uid="{00000000-0005-0000-0000-0000C9020000}"/>
    <cellStyle name="60% - Accent2 9" xfId="727" xr:uid="{00000000-0005-0000-0000-0000CA020000}"/>
    <cellStyle name="60% - Accent3 10" xfId="728" xr:uid="{00000000-0005-0000-0000-0000CB020000}"/>
    <cellStyle name="60% - Accent3 11" xfId="729" xr:uid="{00000000-0005-0000-0000-0000CC020000}"/>
    <cellStyle name="60% - Accent3 12" xfId="730" xr:uid="{00000000-0005-0000-0000-0000CD020000}"/>
    <cellStyle name="60% - Accent3 13" xfId="731" xr:uid="{00000000-0005-0000-0000-0000CE020000}"/>
    <cellStyle name="60% - Accent3 14" xfId="732" xr:uid="{00000000-0005-0000-0000-0000CF020000}"/>
    <cellStyle name="60% - Accent3 15" xfId="733" xr:uid="{00000000-0005-0000-0000-0000D0020000}"/>
    <cellStyle name="60% - Accent3 16" xfId="734" xr:uid="{00000000-0005-0000-0000-0000D1020000}"/>
    <cellStyle name="60% - Accent3 2" xfId="735" xr:uid="{00000000-0005-0000-0000-0000D2020000}"/>
    <cellStyle name="60% - Accent3 3" xfId="736" xr:uid="{00000000-0005-0000-0000-0000D3020000}"/>
    <cellStyle name="60% - Accent3 4" xfId="737" xr:uid="{00000000-0005-0000-0000-0000D4020000}"/>
    <cellStyle name="60% - Accent3 5" xfId="738" xr:uid="{00000000-0005-0000-0000-0000D5020000}"/>
    <cellStyle name="60% - Accent3 6" xfId="739" xr:uid="{00000000-0005-0000-0000-0000D6020000}"/>
    <cellStyle name="60% - Accent3 7" xfId="740" xr:uid="{00000000-0005-0000-0000-0000D7020000}"/>
    <cellStyle name="60% - Accent3 8" xfId="741" xr:uid="{00000000-0005-0000-0000-0000D8020000}"/>
    <cellStyle name="60% - Accent3 9" xfId="742" xr:uid="{00000000-0005-0000-0000-0000D9020000}"/>
    <cellStyle name="60% - Accent4 10" xfId="743" xr:uid="{00000000-0005-0000-0000-0000DA020000}"/>
    <cellStyle name="60% - Accent4 11" xfId="744" xr:uid="{00000000-0005-0000-0000-0000DB020000}"/>
    <cellStyle name="60% - Accent4 12" xfId="745" xr:uid="{00000000-0005-0000-0000-0000DC020000}"/>
    <cellStyle name="60% - Accent4 13" xfId="746" xr:uid="{00000000-0005-0000-0000-0000DD020000}"/>
    <cellStyle name="60% - Accent4 14" xfId="747" xr:uid="{00000000-0005-0000-0000-0000DE020000}"/>
    <cellStyle name="60% - Accent4 15" xfId="748" xr:uid="{00000000-0005-0000-0000-0000DF020000}"/>
    <cellStyle name="60% - Accent4 16" xfId="749" xr:uid="{00000000-0005-0000-0000-0000E0020000}"/>
    <cellStyle name="60% - Accent4 2" xfId="750" xr:uid="{00000000-0005-0000-0000-0000E1020000}"/>
    <cellStyle name="60% - Accent4 3" xfId="751" xr:uid="{00000000-0005-0000-0000-0000E2020000}"/>
    <cellStyle name="60% - Accent4 4" xfId="752" xr:uid="{00000000-0005-0000-0000-0000E3020000}"/>
    <cellStyle name="60% - Accent4 5" xfId="753" xr:uid="{00000000-0005-0000-0000-0000E4020000}"/>
    <cellStyle name="60% - Accent4 6" xfId="754" xr:uid="{00000000-0005-0000-0000-0000E5020000}"/>
    <cellStyle name="60% - Accent4 7" xfId="755" xr:uid="{00000000-0005-0000-0000-0000E6020000}"/>
    <cellStyle name="60% - Accent4 8" xfId="756" xr:uid="{00000000-0005-0000-0000-0000E7020000}"/>
    <cellStyle name="60% - Accent4 9" xfId="757" xr:uid="{00000000-0005-0000-0000-0000E8020000}"/>
    <cellStyle name="60% - Accent5 10" xfId="758" xr:uid="{00000000-0005-0000-0000-0000E9020000}"/>
    <cellStyle name="60% - Accent5 11" xfId="759" xr:uid="{00000000-0005-0000-0000-0000EA020000}"/>
    <cellStyle name="60% - Accent5 12" xfId="760" xr:uid="{00000000-0005-0000-0000-0000EB020000}"/>
    <cellStyle name="60% - Accent5 13" xfId="761" xr:uid="{00000000-0005-0000-0000-0000EC020000}"/>
    <cellStyle name="60% - Accent5 14" xfId="762" xr:uid="{00000000-0005-0000-0000-0000ED020000}"/>
    <cellStyle name="60% - Accent5 15" xfId="763" xr:uid="{00000000-0005-0000-0000-0000EE020000}"/>
    <cellStyle name="60% - Accent5 16" xfId="764" xr:uid="{00000000-0005-0000-0000-0000EF020000}"/>
    <cellStyle name="60% - Accent5 2" xfId="765" xr:uid="{00000000-0005-0000-0000-0000F0020000}"/>
    <cellStyle name="60% - Accent5 3" xfId="766" xr:uid="{00000000-0005-0000-0000-0000F1020000}"/>
    <cellStyle name="60% - Accent5 4" xfId="767" xr:uid="{00000000-0005-0000-0000-0000F2020000}"/>
    <cellStyle name="60% - Accent5 5" xfId="768" xr:uid="{00000000-0005-0000-0000-0000F3020000}"/>
    <cellStyle name="60% - Accent5 6" xfId="769" xr:uid="{00000000-0005-0000-0000-0000F4020000}"/>
    <cellStyle name="60% - Accent5 7" xfId="770" xr:uid="{00000000-0005-0000-0000-0000F5020000}"/>
    <cellStyle name="60% - Accent5 8" xfId="771" xr:uid="{00000000-0005-0000-0000-0000F6020000}"/>
    <cellStyle name="60% - Accent5 9" xfId="772" xr:uid="{00000000-0005-0000-0000-0000F7020000}"/>
    <cellStyle name="60% - Accent6 10" xfId="773" xr:uid="{00000000-0005-0000-0000-0000F8020000}"/>
    <cellStyle name="60% - Accent6 11" xfId="774" xr:uid="{00000000-0005-0000-0000-0000F9020000}"/>
    <cellStyle name="60% - Accent6 12" xfId="775" xr:uid="{00000000-0005-0000-0000-0000FA020000}"/>
    <cellStyle name="60% - Accent6 13" xfId="776" xr:uid="{00000000-0005-0000-0000-0000FB020000}"/>
    <cellStyle name="60% - Accent6 14" xfId="777" xr:uid="{00000000-0005-0000-0000-0000FC020000}"/>
    <cellStyle name="60% - Accent6 15" xfId="778" xr:uid="{00000000-0005-0000-0000-0000FD020000}"/>
    <cellStyle name="60% - Accent6 16" xfId="779" xr:uid="{00000000-0005-0000-0000-0000FE020000}"/>
    <cellStyle name="60% - Accent6 2" xfId="780" xr:uid="{00000000-0005-0000-0000-0000FF020000}"/>
    <cellStyle name="60% - Accent6 3" xfId="781" xr:uid="{00000000-0005-0000-0000-000000030000}"/>
    <cellStyle name="60% - Accent6 4" xfId="782" xr:uid="{00000000-0005-0000-0000-000001030000}"/>
    <cellStyle name="60% - Accent6 5" xfId="783" xr:uid="{00000000-0005-0000-0000-000002030000}"/>
    <cellStyle name="60% - Accent6 6" xfId="784" xr:uid="{00000000-0005-0000-0000-000003030000}"/>
    <cellStyle name="60% - Accent6 7" xfId="785" xr:uid="{00000000-0005-0000-0000-000004030000}"/>
    <cellStyle name="60% - Accent6 8" xfId="786" xr:uid="{00000000-0005-0000-0000-000005030000}"/>
    <cellStyle name="60% - Accent6 9" xfId="787" xr:uid="{00000000-0005-0000-0000-000006030000}"/>
    <cellStyle name="Accent1 10" xfId="788" xr:uid="{00000000-0005-0000-0000-000007030000}"/>
    <cellStyle name="Accent1 11" xfId="789" xr:uid="{00000000-0005-0000-0000-000008030000}"/>
    <cellStyle name="Accent1 12" xfId="790" xr:uid="{00000000-0005-0000-0000-000009030000}"/>
    <cellStyle name="Accent1 13" xfId="791" xr:uid="{00000000-0005-0000-0000-00000A030000}"/>
    <cellStyle name="Accent1 14" xfId="792" xr:uid="{00000000-0005-0000-0000-00000B030000}"/>
    <cellStyle name="Accent1 15" xfId="793" xr:uid="{00000000-0005-0000-0000-00000C030000}"/>
    <cellStyle name="Accent1 16" xfId="794" xr:uid="{00000000-0005-0000-0000-00000D030000}"/>
    <cellStyle name="Accent1 2" xfId="795" xr:uid="{00000000-0005-0000-0000-00000E030000}"/>
    <cellStyle name="Accent1 3" xfId="796" xr:uid="{00000000-0005-0000-0000-00000F030000}"/>
    <cellStyle name="Accent1 4" xfId="797" xr:uid="{00000000-0005-0000-0000-000010030000}"/>
    <cellStyle name="Accent1 5" xfId="798" xr:uid="{00000000-0005-0000-0000-000011030000}"/>
    <cellStyle name="Accent1 6" xfId="799" xr:uid="{00000000-0005-0000-0000-000012030000}"/>
    <cellStyle name="Accent1 7" xfId="800" xr:uid="{00000000-0005-0000-0000-000013030000}"/>
    <cellStyle name="Accent1 8" xfId="801" xr:uid="{00000000-0005-0000-0000-000014030000}"/>
    <cellStyle name="Accent1 9" xfId="802" xr:uid="{00000000-0005-0000-0000-000015030000}"/>
    <cellStyle name="Accent2 10" xfId="803" xr:uid="{00000000-0005-0000-0000-000016030000}"/>
    <cellStyle name="Accent2 11" xfId="804" xr:uid="{00000000-0005-0000-0000-000017030000}"/>
    <cellStyle name="Accent2 12" xfId="805" xr:uid="{00000000-0005-0000-0000-000018030000}"/>
    <cellStyle name="Accent2 13" xfId="806" xr:uid="{00000000-0005-0000-0000-000019030000}"/>
    <cellStyle name="Accent2 14" xfId="807" xr:uid="{00000000-0005-0000-0000-00001A030000}"/>
    <cellStyle name="Accent2 15" xfId="808" xr:uid="{00000000-0005-0000-0000-00001B030000}"/>
    <cellStyle name="Accent2 16" xfId="809" xr:uid="{00000000-0005-0000-0000-00001C030000}"/>
    <cellStyle name="Accent2 2" xfId="810" xr:uid="{00000000-0005-0000-0000-00001D030000}"/>
    <cellStyle name="Accent2 3" xfId="811" xr:uid="{00000000-0005-0000-0000-00001E030000}"/>
    <cellStyle name="Accent2 4" xfId="812" xr:uid="{00000000-0005-0000-0000-00001F030000}"/>
    <cellStyle name="Accent2 5" xfId="813" xr:uid="{00000000-0005-0000-0000-000020030000}"/>
    <cellStyle name="Accent2 6" xfId="814" xr:uid="{00000000-0005-0000-0000-000021030000}"/>
    <cellStyle name="Accent2 7" xfId="815" xr:uid="{00000000-0005-0000-0000-000022030000}"/>
    <cellStyle name="Accent2 8" xfId="816" xr:uid="{00000000-0005-0000-0000-000023030000}"/>
    <cellStyle name="Accent2 9" xfId="817" xr:uid="{00000000-0005-0000-0000-000024030000}"/>
    <cellStyle name="Accent3 10" xfId="818" xr:uid="{00000000-0005-0000-0000-000025030000}"/>
    <cellStyle name="Accent3 11" xfId="819" xr:uid="{00000000-0005-0000-0000-000026030000}"/>
    <cellStyle name="Accent3 12" xfId="820" xr:uid="{00000000-0005-0000-0000-000027030000}"/>
    <cellStyle name="Accent3 13" xfId="821" xr:uid="{00000000-0005-0000-0000-000028030000}"/>
    <cellStyle name="Accent3 14" xfId="822" xr:uid="{00000000-0005-0000-0000-000029030000}"/>
    <cellStyle name="Accent3 15" xfId="823" xr:uid="{00000000-0005-0000-0000-00002A030000}"/>
    <cellStyle name="Accent3 16" xfId="824" xr:uid="{00000000-0005-0000-0000-00002B030000}"/>
    <cellStyle name="Accent3 2" xfId="825" xr:uid="{00000000-0005-0000-0000-00002C030000}"/>
    <cellStyle name="Accent3 3" xfId="826" xr:uid="{00000000-0005-0000-0000-00002D030000}"/>
    <cellStyle name="Accent3 4" xfId="827" xr:uid="{00000000-0005-0000-0000-00002E030000}"/>
    <cellStyle name="Accent3 5" xfId="828" xr:uid="{00000000-0005-0000-0000-00002F030000}"/>
    <cellStyle name="Accent3 6" xfId="829" xr:uid="{00000000-0005-0000-0000-000030030000}"/>
    <cellStyle name="Accent3 7" xfId="830" xr:uid="{00000000-0005-0000-0000-000031030000}"/>
    <cellStyle name="Accent3 8" xfId="831" xr:uid="{00000000-0005-0000-0000-000032030000}"/>
    <cellStyle name="Accent3 9" xfId="832" xr:uid="{00000000-0005-0000-0000-000033030000}"/>
    <cellStyle name="Accent4 10" xfId="833" xr:uid="{00000000-0005-0000-0000-000034030000}"/>
    <cellStyle name="Accent4 11" xfId="834" xr:uid="{00000000-0005-0000-0000-000035030000}"/>
    <cellStyle name="Accent4 12" xfId="835" xr:uid="{00000000-0005-0000-0000-000036030000}"/>
    <cellStyle name="Accent4 13" xfId="836" xr:uid="{00000000-0005-0000-0000-000037030000}"/>
    <cellStyle name="Accent4 14" xfId="837" xr:uid="{00000000-0005-0000-0000-000038030000}"/>
    <cellStyle name="Accent4 15" xfId="838" xr:uid="{00000000-0005-0000-0000-000039030000}"/>
    <cellStyle name="Accent4 16" xfId="839" xr:uid="{00000000-0005-0000-0000-00003A030000}"/>
    <cellStyle name="Accent4 2" xfId="840" xr:uid="{00000000-0005-0000-0000-00003B030000}"/>
    <cellStyle name="Accent4 3" xfId="841" xr:uid="{00000000-0005-0000-0000-00003C030000}"/>
    <cellStyle name="Accent4 4" xfId="842" xr:uid="{00000000-0005-0000-0000-00003D030000}"/>
    <cellStyle name="Accent4 5" xfId="843" xr:uid="{00000000-0005-0000-0000-00003E030000}"/>
    <cellStyle name="Accent4 6" xfId="844" xr:uid="{00000000-0005-0000-0000-00003F030000}"/>
    <cellStyle name="Accent4 7" xfId="845" xr:uid="{00000000-0005-0000-0000-000040030000}"/>
    <cellStyle name="Accent4 8" xfId="846" xr:uid="{00000000-0005-0000-0000-000041030000}"/>
    <cellStyle name="Accent4 9" xfId="847" xr:uid="{00000000-0005-0000-0000-000042030000}"/>
    <cellStyle name="Accent5 10" xfId="848" xr:uid="{00000000-0005-0000-0000-000043030000}"/>
    <cellStyle name="Accent5 11" xfId="849" xr:uid="{00000000-0005-0000-0000-000044030000}"/>
    <cellStyle name="Accent5 12" xfId="850" xr:uid="{00000000-0005-0000-0000-000045030000}"/>
    <cellStyle name="Accent5 13" xfId="851" xr:uid="{00000000-0005-0000-0000-000046030000}"/>
    <cellStyle name="Accent5 14" xfId="852" xr:uid="{00000000-0005-0000-0000-000047030000}"/>
    <cellStyle name="Accent5 15" xfId="853" xr:uid="{00000000-0005-0000-0000-000048030000}"/>
    <cellStyle name="Accent5 16" xfId="854" xr:uid="{00000000-0005-0000-0000-000049030000}"/>
    <cellStyle name="Accent5 2" xfId="855" xr:uid="{00000000-0005-0000-0000-00004A030000}"/>
    <cellStyle name="Accent5 3" xfId="856" xr:uid="{00000000-0005-0000-0000-00004B030000}"/>
    <cellStyle name="Accent5 4" xfId="857" xr:uid="{00000000-0005-0000-0000-00004C030000}"/>
    <cellStyle name="Accent5 5" xfId="858" xr:uid="{00000000-0005-0000-0000-00004D030000}"/>
    <cellStyle name="Accent5 6" xfId="859" xr:uid="{00000000-0005-0000-0000-00004E030000}"/>
    <cellStyle name="Accent5 7" xfId="860" xr:uid="{00000000-0005-0000-0000-00004F030000}"/>
    <cellStyle name="Accent5 8" xfId="861" xr:uid="{00000000-0005-0000-0000-000050030000}"/>
    <cellStyle name="Accent5 9" xfId="862" xr:uid="{00000000-0005-0000-0000-000051030000}"/>
    <cellStyle name="Accent6 10" xfId="863" xr:uid="{00000000-0005-0000-0000-000052030000}"/>
    <cellStyle name="Accent6 11" xfId="864" xr:uid="{00000000-0005-0000-0000-000053030000}"/>
    <cellStyle name="Accent6 12" xfId="865" xr:uid="{00000000-0005-0000-0000-000054030000}"/>
    <cellStyle name="Accent6 13" xfId="866" xr:uid="{00000000-0005-0000-0000-000055030000}"/>
    <cellStyle name="Accent6 14" xfId="867" xr:uid="{00000000-0005-0000-0000-000056030000}"/>
    <cellStyle name="Accent6 15" xfId="868" xr:uid="{00000000-0005-0000-0000-000057030000}"/>
    <cellStyle name="Accent6 16" xfId="869" xr:uid="{00000000-0005-0000-0000-000058030000}"/>
    <cellStyle name="Accent6 2" xfId="870" xr:uid="{00000000-0005-0000-0000-000059030000}"/>
    <cellStyle name="Accent6 3" xfId="871" xr:uid="{00000000-0005-0000-0000-00005A030000}"/>
    <cellStyle name="Accent6 4" xfId="872" xr:uid="{00000000-0005-0000-0000-00005B030000}"/>
    <cellStyle name="Accent6 5" xfId="873" xr:uid="{00000000-0005-0000-0000-00005C030000}"/>
    <cellStyle name="Accent6 6" xfId="874" xr:uid="{00000000-0005-0000-0000-00005D030000}"/>
    <cellStyle name="Accent6 7" xfId="875" xr:uid="{00000000-0005-0000-0000-00005E030000}"/>
    <cellStyle name="Accent6 8" xfId="876" xr:uid="{00000000-0005-0000-0000-00005F030000}"/>
    <cellStyle name="Accent6 9" xfId="877" xr:uid="{00000000-0005-0000-0000-000060030000}"/>
    <cellStyle name="Bad 10" xfId="878" xr:uid="{00000000-0005-0000-0000-000061030000}"/>
    <cellStyle name="Bad 11" xfId="879" xr:uid="{00000000-0005-0000-0000-000062030000}"/>
    <cellStyle name="Bad 12" xfId="880" xr:uid="{00000000-0005-0000-0000-000063030000}"/>
    <cellStyle name="Bad 13" xfId="881" xr:uid="{00000000-0005-0000-0000-000064030000}"/>
    <cellStyle name="Bad 14" xfId="882" xr:uid="{00000000-0005-0000-0000-000065030000}"/>
    <cellStyle name="Bad 15" xfId="883" xr:uid="{00000000-0005-0000-0000-000066030000}"/>
    <cellStyle name="Bad 16" xfId="884" xr:uid="{00000000-0005-0000-0000-000067030000}"/>
    <cellStyle name="Bad 2" xfId="885" xr:uid="{00000000-0005-0000-0000-000068030000}"/>
    <cellStyle name="Bad 3" xfId="886" xr:uid="{00000000-0005-0000-0000-000069030000}"/>
    <cellStyle name="Bad 4" xfId="887" xr:uid="{00000000-0005-0000-0000-00006A030000}"/>
    <cellStyle name="Bad 5" xfId="888" xr:uid="{00000000-0005-0000-0000-00006B030000}"/>
    <cellStyle name="Bad 6" xfId="889" xr:uid="{00000000-0005-0000-0000-00006C030000}"/>
    <cellStyle name="Bad 7" xfId="890" xr:uid="{00000000-0005-0000-0000-00006D030000}"/>
    <cellStyle name="Bad 8" xfId="891" xr:uid="{00000000-0005-0000-0000-00006E030000}"/>
    <cellStyle name="Bad 9" xfId="892" xr:uid="{00000000-0005-0000-0000-00006F030000}"/>
    <cellStyle name="Calculation 10" xfId="893" xr:uid="{00000000-0005-0000-0000-000070030000}"/>
    <cellStyle name="Calculation 11" xfId="894" xr:uid="{00000000-0005-0000-0000-000071030000}"/>
    <cellStyle name="Calculation 12" xfId="895" xr:uid="{00000000-0005-0000-0000-000072030000}"/>
    <cellStyle name="Calculation 13" xfId="896" xr:uid="{00000000-0005-0000-0000-000073030000}"/>
    <cellStyle name="Calculation 14" xfId="897" xr:uid="{00000000-0005-0000-0000-000074030000}"/>
    <cellStyle name="Calculation 15" xfId="898" xr:uid="{00000000-0005-0000-0000-000075030000}"/>
    <cellStyle name="Calculation 16" xfId="899" xr:uid="{00000000-0005-0000-0000-000076030000}"/>
    <cellStyle name="Calculation 2" xfId="900" xr:uid="{00000000-0005-0000-0000-000077030000}"/>
    <cellStyle name="Calculation 3" xfId="901" xr:uid="{00000000-0005-0000-0000-000078030000}"/>
    <cellStyle name="Calculation 4" xfId="902" xr:uid="{00000000-0005-0000-0000-000079030000}"/>
    <cellStyle name="Calculation 5" xfId="903" xr:uid="{00000000-0005-0000-0000-00007A030000}"/>
    <cellStyle name="Calculation 6" xfId="904" xr:uid="{00000000-0005-0000-0000-00007B030000}"/>
    <cellStyle name="Calculation 7" xfId="905" xr:uid="{00000000-0005-0000-0000-00007C030000}"/>
    <cellStyle name="Calculation 8" xfId="906" xr:uid="{00000000-0005-0000-0000-00007D030000}"/>
    <cellStyle name="Calculation 9" xfId="907" xr:uid="{00000000-0005-0000-0000-00007E030000}"/>
    <cellStyle name="Check Cell 10" xfId="908" xr:uid="{00000000-0005-0000-0000-00007F030000}"/>
    <cellStyle name="Check Cell 11" xfId="909" xr:uid="{00000000-0005-0000-0000-000080030000}"/>
    <cellStyle name="Check Cell 12" xfId="910" xr:uid="{00000000-0005-0000-0000-000081030000}"/>
    <cellStyle name="Check Cell 13" xfId="911" xr:uid="{00000000-0005-0000-0000-000082030000}"/>
    <cellStyle name="Check Cell 14" xfId="912" xr:uid="{00000000-0005-0000-0000-000083030000}"/>
    <cellStyle name="Check Cell 15" xfId="913" xr:uid="{00000000-0005-0000-0000-000084030000}"/>
    <cellStyle name="Check Cell 16" xfId="914" xr:uid="{00000000-0005-0000-0000-000085030000}"/>
    <cellStyle name="Check Cell 2" xfId="915" xr:uid="{00000000-0005-0000-0000-000086030000}"/>
    <cellStyle name="Check Cell 3" xfId="916" xr:uid="{00000000-0005-0000-0000-000087030000}"/>
    <cellStyle name="Check Cell 4" xfId="917" xr:uid="{00000000-0005-0000-0000-000088030000}"/>
    <cellStyle name="Check Cell 5" xfId="918" xr:uid="{00000000-0005-0000-0000-000089030000}"/>
    <cellStyle name="Check Cell 6" xfId="919" xr:uid="{00000000-0005-0000-0000-00008A030000}"/>
    <cellStyle name="Check Cell 7" xfId="920" xr:uid="{00000000-0005-0000-0000-00008B030000}"/>
    <cellStyle name="Check Cell 8" xfId="921" xr:uid="{00000000-0005-0000-0000-00008C030000}"/>
    <cellStyle name="Check Cell 9" xfId="922" xr:uid="{00000000-0005-0000-0000-00008D030000}"/>
    <cellStyle name="Comma [0] 2" xfId="923" xr:uid="{00000000-0005-0000-0000-00008E030000}"/>
    <cellStyle name="Comma 2" xfId="924" xr:uid="{00000000-0005-0000-0000-00008F030000}"/>
    <cellStyle name="Comma 2 2" xfId="925" xr:uid="{00000000-0005-0000-0000-000090030000}"/>
    <cellStyle name="Comma 2 3" xfId="926" xr:uid="{00000000-0005-0000-0000-000091030000}"/>
    <cellStyle name="Comma 2 4" xfId="927" xr:uid="{00000000-0005-0000-0000-000092030000}"/>
    <cellStyle name="Comma 2 4 2" xfId="928" xr:uid="{00000000-0005-0000-0000-000093030000}"/>
    <cellStyle name="Comma 2 5" xfId="929" xr:uid="{00000000-0005-0000-0000-000094030000}"/>
    <cellStyle name="Comma 2 5 2" xfId="930" xr:uid="{00000000-0005-0000-0000-000095030000}"/>
    <cellStyle name="Comma 2 6" xfId="931" xr:uid="{00000000-0005-0000-0000-000096030000}"/>
    <cellStyle name="Comma 2 7" xfId="932" xr:uid="{00000000-0005-0000-0000-000097030000}"/>
    <cellStyle name="Comma 3" xfId="933" xr:uid="{00000000-0005-0000-0000-000098030000}"/>
    <cellStyle name="Comma 3 2" xfId="934" xr:uid="{00000000-0005-0000-0000-000099030000}"/>
    <cellStyle name="Comma 4" xfId="9" xr:uid="{00000000-0005-0000-0000-00009A030000}"/>
    <cellStyle name="Comma 4 2" xfId="936" xr:uid="{00000000-0005-0000-0000-00009B030000}"/>
    <cellStyle name="Comma 4 3" xfId="935" xr:uid="{00000000-0005-0000-0000-00009C030000}"/>
    <cellStyle name="Comma 5" xfId="1465" xr:uid="{00000000-0005-0000-0000-00009D030000}"/>
    <cellStyle name="Comma 6" xfId="1459" xr:uid="{00000000-0005-0000-0000-00009E030000}"/>
    <cellStyle name="Currency 2" xfId="1464" xr:uid="{00000000-0005-0000-0000-00009F030000}"/>
    <cellStyle name="Currency 3" xfId="1463" xr:uid="{00000000-0005-0000-0000-0000A0030000}"/>
    <cellStyle name="Currency 4" xfId="1460" xr:uid="{00000000-0005-0000-0000-0000A1030000}"/>
    <cellStyle name="Explanatory Text 10" xfId="937" xr:uid="{00000000-0005-0000-0000-0000A2030000}"/>
    <cellStyle name="Explanatory Text 11" xfId="938" xr:uid="{00000000-0005-0000-0000-0000A3030000}"/>
    <cellStyle name="Explanatory Text 12" xfId="939" xr:uid="{00000000-0005-0000-0000-0000A4030000}"/>
    <cellStyle name="Explanatory Text 13" xfId="940" xr:uid="{00000000-0005-0000-0000-0000A5030000}"/>
    <cellStyle name="Explanatory Text 14" xfId="941" xr:uid="{00000000-0005-0000-0000-0000A6030000}"/>
    <cellStyle name="Explanatory Text 15" xfId="942" xr:uid="{00000000-0005-0000-0000-0000A7030000}"/>
    <cellStyle name="Explanatory Text 16" xfId="943" xr:uid="{00000000-0005-0000-0000-0000A8030000}"/>
    <cellStyle name="Explanatory Text 2" xfId="944" xr:uid="{00000000-0005-0000-0000-0000A9030000}"/>
    <cellStyle name="Explanatory Text 3" xfId="945" xr:uid="{00000000-0005-0000-0000-0000AA030000}"/>
    <cellStyle name="Explanatory Text 4" xfId="946" xr:uid="{00000000-0005-0000-0000-0000AB030000}"/>
    <cellStyle name="Explanatory Text 5" xfId="947" xr:uid="{00000000-0005-0000-0000-0000AC030000}"/>
    <cellStyle name="Explanatory Text 6" xfId="948" xr:uid="{00000000-0005-0000-0000-0000AD030000}"/>
    <cellStyle name="Explanatory Text 7" xfId="949" xr:uid="{00000000-0005-0000-0000-0000AE030000}"/>
    <cellStyle name="Explanatory Text 8" xfId="950" xr:uid="{00000000-0005-0000-0000-0000AF030000}"/>
    <cellStyle name="Explanatory Text 9" xfId="951" xr:uid="{00000000-0005-0000-0000-0000B0030000}"/>
    <cellStyle name="Good 10" xfId="952" xr:uid="{00000000-0005-0000-0000-0000B1030000}"/>
    <cellStyle name="Good 11" xfId="953" xr:uid="{00000000-0005-0000-0000-0000B2030000}"/>
    <cellStyle name="Good 12" xfId="954" xr:uid="{00000000-0005-0000-0000-0000B3030000}"/>
    <cellStyle name="Good 13" xfId="955" xr:uid="{00000000-0005-0000-0000-0000B4030000}"/>
    <cellStyle name="Good 14" xfId="956" xr:uid="{00000000-0005-0000-0000-0000B5030000}"/>
    <cellStyle name="Good 15" xfId="957" xr:uid="{00000000-0005-0000-0000-0000B6030000}"/>
    <cellStyle name="Good 16" xfId="958" xr:uid="{00000000-0005-0000-0000-0000B7030000}"/>
    <cellStyle name="Good 2" xfId="959" xr:uid="{00000000-0005-0000-0000-0000B8030000}"/>
    <cellStyle name="Good 3" xfId="960" xr:uid="{00000000-0005-0000-0000-0000B9030000}"/>
    <cellStyle name="Good 4" xfId="961" xr:uid="{00000000-0005-0000-0000-0000BA030000}"/>
    <cellStyle name="Good 5" xfId="962" xr:uid="{00000000-0005-0000-0000-0000BB030000}"/>
    <cellStyle name="Good 6" xfId="963" xr:uid="{00000000-0005-0000-0000-0000BC030000}"/>
    <cellStyle name="Good 7" xfId="964" xr:uid="{00000000-0005-0000-0000-0000BD030000}"/>
    <cellStyle name="Good 8" xfId="965" xr:uid="{00000000-0005-0000-0000-0000BE030000}"/>
    <cellStyle name="Good 9" xfId="966" xr:uid="{00000000-0005-0000-0000-0000BF030000}"/>
    <cellStyle name="Heading 1 10" xfId="967" xr:uid="{00000000-0005-0000-0000-0000C0030000}"/>
    <cellStyle name="Heading 1 11" xfId="968" xr:uid="{00000000-0005-0000-0000-0000C1030000}"/>
    <cellStyle name="Heading 1 12" xfId="969" xr:uid="{00000000-0005-0000-0000-0000C2030000}"/>
    <cellStyle name="Heading 1 13" xfId="970" xr:uid="{00000000-0005-0000-0000-0000C3030000}"/>
    <cellStyle name="Heading 1 14" xfId="971" xr:uid="{00000000-0005-0000-0000-0000C4030000}"/>
    <cellStyle name="Heading 1 15" xfId="972" xr:uid="{00000000-0005-0000-0000-0000C5030000}"/>
    <cellStyle name="Heading 1 16" xfId="973" xr:uid="{00000000-0005-0000-0000-0000C6030000}"/>
    <cellStyle name="Heading 1 2" xfId="974" xr:uid="{00000000-0005-0000-0000-0000C7030000}"/>
    <cellStyle name="Heading 1 3" xfId="975" xr:uid="{00000000-0005-0000-0000-0000C8030000}"/>
    <cellStyle name="Heading 1 4" xfId="976" xr:uid="{00000000-0005-0000-0000-0000C9030000}"/>
    <cellStyle name="Heading 1 5" xfId="977" xr:uid="{00000000-0005-0000-0000-0000CA030000}"/>
    <cellStyle name="Heading 1 6" xfId="978" xr:uid="{00000000-0005-0000-0000-0000CB030000}"/>
    <cellStyle name="Heading 1 7" xfId="979" xr:uid="{00000000-0005-0000-0000-0000CC030000}"/>
    <cellStyle name="Heading 1 8" xfId="980" xr:uid="{00000000-0005-0000-0000-0000CD030000}"/>
    <cellStyle name="Heading 1 9" xfId="981" xr:uid="{00000000-0005-0000-0000-0000CE030000}"/>
    <cellStyle name="Heading 2 10" xfId="982" xr:uid="{00000000-0005-0000-0000-0000CF030000}"/>
    <cellStyle name="Heading 2 11" xfId="983" xr:uid="{00000000-0005-0000-0000-0000D0030000}"/>
    <cellStyle name="Heading 2 12" xfId="984" xr:uid="{00000000-0005-0000-0000-0000D1030000}"/>
    <cellStyle name="Heading 2 13" xfId="985" xr:uid="{00000000-0005-0000-0000-0000D2030000}"/>
    <cellStyle name="Heading 2 14" xfId="986" xr:uid="{00000000-0005-0000-0000-0000D3030000}"/>
    <cellStyle name="Heading 2 15" xfId="987" xr:uid="{00000000-0005-0000-0000-0000D4030000}"/>
    <cellStyle name="Heading 2 16" xfId="988" xr:uid="{00000000-0005-0000-0000-0000D5030000}"/>
    <cellStyle name="Heading 2 2" xfId="989" xr:uid="{00000000-0005-0000-0000-0000D6030000}"/>
    <cellStyle name="Heading 2 3" xfId="990" xr:uid="{00000000-0005-0000-0000-0000D7030000}"/>
    <cellStyle name="Heading 2 4" xfId="991" xr:uid="{00000000-0005-0000-0000-0000D8030000}"/>
    <cellStyle name="Heading 2 5" xfId="992" xr:uid="{00000000-0005-0000-0000-0000D9030000}"/>
    <cellStyle name="Heading 2 6" xfId="993" xr:uid="{00000000-0005-0000-0000-0000DA030000}"/>
    <cellStyle name="Heading 2 7" xfId="994" xr:uid="{00000000-0005-0000-0000-0000DB030000}"/>
    <cellStyle name="Heading 2 8" xfId="995" xr:uid="{00000000-0005-0000-0000-0000DC030000}"/>
    <cellStyle name="Heading 2 9" xfId="996" xr:uid="{00000000-0005-0000-0000-0000DD030000}"/>
    <cellStyle name="Heading 3 10" xfId="997" xr:uid="{00000000-0005-0000-0000-0000DE030000}"/>
    <cellStyle name="Heading 3 11" xfId="998" xr:uid="{00000000-0005-0000-0000-0000DF030000}"/>
    <cellStyle name="Heading 3 12" xfId="999" xr:uid="{00000000-0005-0000-0000-0000E0030000}"/>
    <cellStyle name="Heading 3 13" xfId="1000" xr:uid="{00000000-0005-0000-0000-0000E1030000}"/>
    <cellStyle name="Heading 3 14" xfId="1001" xr:uid="{00000000-0005-0000-0000-0000E2030000}"/>
    <cellStyle name="Heading 3 15" xfId="1002" xr:uid="{00000000-0005-0000-0000-0000E3030000}"/>
    <cellStyle name="Heading 3 16" xfId="1003" xr:uid="{00000000-0005-0000-0000-0000E4030000}"/>
    <cellStyle name="Heading 3 2" xfId="1004" xr:uid="{00000000-0005-0000-0000-0000E5030000}"/>
    <cellStyle name="Heading 3 3" xfId="1005" xr:uid="{00000000-0005-0000-0000-0000E6030000}"/>
    <cellStyle name="Heading 3 4" xfId="1006" xr:uid="{00000000-0005-0000-0000-0000E7030000}"/>
    <cellStyle name="Heading 3 5" xfId="1007" xr:uid="{00000000-0005-0000-0000-0000E8030000}"/>
    <cellStyle name="Heading 3 6" xfId="1008" xr:uid="{00000000-0005-0000-0000-0000E9030000}"/>
    <cellStyle name="Heading 3 7" xfId="1009" xr:uid="{00000000-0005-0000-0000-0000EA030000}"/>
    <cellStyle name="Heading 3 8" xfId="1010" xr:uid="{00000000-0005-0000-0000-0000EB030000}"/>
    <cellStyle name="Heading 3 9" xfId="1011" xr:uid="{00000000-0005-0000-0000-0000EC030000}"/>
    <cellStyle name="Heading 4 10" xfId="1012" xr:uid="{00000000-0005-0000-0000-0000ED030000}"/>
    <cellStyle name="Heading 4 11" xfId="1013" xr:uid="{00000000-0005-0000-0000-0000EE030000}"/>
    <cellStyle name="Heading 4 12" xfId="1014" xr:uid="{00000000-0005-0000-0000-0000EF030000}"/>
    <cellStyle name="Heading 4 13" xfId="1015" xr:uid="{00000000-0005-0000-0000-0000F0030000}"/>
    <cellStyle name="Heading 4 14" xfId="1016" xr:uid="{00000000-0005-0000-0000-0000F1030000}"/>
    <cellStyle name="Heading 4 15" xfId="1017" xr:uid="{00000000-0005-0000-0000-0000F2030000}"/>
    <cellStyle name="Heading 4 16" xfId="1018" xr:uid="{00000000-0005-0000-0000-0000F3030000}"/>
    <cellStyle name="Heading 4 2" xfId="1019" xr:uid="{00000000-0005-0000-0000-0000F4030000}"/>
    <cellStyle name="Heading 4 3" xfId="1020" xr:uid="{00000000-0005-0000-0000-0000F5030000}"/>
    <cellStyle name="Heading 4 4" xfId="1021" xr:uid="{00000000-0005-0000-0000-0000F6030000}"/>
    <cellStyle name="Heading 4 5" xfId="1022" xr:uid="{00000000-0005-0000-0000-0000F7030000}"/>
    <cellStyle name="Heading 4 6" xfId="1023" xr:uid="{00000000-0005-0000-0000-0000F8030000}"/>
    <cellStyle name="Heading 4 7" xfId="1024" xr:uid="{00000000-0005-0000-0000-0000F9030000}"/>
    <cellStyle name="Heading 4 8" xfId="1025" xr:uid="{00000000-0005-0000-0000-0000FA030000}"/>
    <cellStyle name="Heading 4 9" xfId="1026" xr:uid="{00000000-0005-0000-0000-0000FB030000}"/>
    <cellStyle name="Hyperlink 2" xfId="1027" xr:uid="{00000000-0005-0000-0000-0000FC030000}"/>
    <cellStyle name="Hyperlink 3" xfId="1028" xr:uid="{00000000-0005-0000-0000-0000FD030000}"/>
    <cellStyle name="Input 10" xfId="1029" xr:uid="{00000000-0005-0000-0000-0000FE030000}"/>
    <cellStyle name="Input 11" xfId="1030" xr:uid="{00000000-0005-0000-0000-0000FF030000}"/>
    <cellStyle name="Input 12" xfId="1031" xr:uid="{00000000-0005-0000-0000-000000040000}"/>
    <cellStyle name="Input 13" xfId="1032" xr:uid="{00000000-0005-0000-0000-000001040000}"/>
    <cellStyle name="Input 14" xfId="1033" xr:uid="{00000000-0005-0000-0000-000002040000}"/>
    <cellStyle name="Input 15" xfId="1034" xr:uid="{00000000-0005-0000-0000-000003040000}"/>
    <cellStyle name="Input 16" xfId="1035" xr:uid="{00000000-0005-0000-0000-000004040000}"/>
    <cellStyle name="Input 2" xfId="1036" xr:uid="{00000000-0005-0000-0000-000005040000}"/>
    <cellStyle name="Input 3" xfId="1037" xr:uid="{00000000-0005-0000-0000-000006040000}"/>
    <cellStyle name="Input 4" xfId="1038" xr:uid="{00000000-0005-0000-0000-000007040000}"/>
    <cellStyle name="Input 5" xfId="1039" xr:uid="{00000000-0005-0000-0000-000008040000}"/>
    <cellStyle name="Input 6" xfId="1040" xr:uid="{00000000-0005-0000-0000-000009040000}"/>
    <cellStyle name="Input 7" xfId="1041" xr:uid="{00000000-0005-0000-0000-00000A040000}"/>
    <cellStyle name="Input 8" xfId="1042" xr:uid="{00000000-0005-0000-0000-00000B040000}"/>
    <cellStyle name="Input 9" xfId="1043" xr:uid="{00000000-0005-0000-0000-00000C040000}"/>
    <cellStyle name="Linked Cell 10" xfId="1044" xr:uid="{00000000-0005-0000-0000-00000D040000}"/>
    <cellStyle name="Linked Cell 11" xfId="1045" xr:uid="{00000000-0005-0000-0000-00000E040000}"/>
    <cellStyle name="Linked Cell 12" xfId="1046" xr:uid="{00000000-0005-0000-0000-00000F040000}"/>
    <cellStyle name="Linked Cell 13" xfId="1047" xr:uid="{00000000-0005-0000-0000-000010040000}"/>
    <cellStyle name="Linked Cell 14" xfId="1048" xr:uid="{00000000-0005-0000-0000-000011040000}"/>
    <cellStyle name="Linked Cell 15" xfId="1049" xr:uid="{00000000-0005-0000-0000-000012040000}"/>
    <cellStyle name="Linked Cell 16" xfId="1050" xr:uid="{00000000-0005-0000-0000-000013040000}"/>
    <cellStyle name="Linked Cell 2" xfId="1051" xr:uid="{00000000-0005-0000-0000-000014040000}"/>
    <cellStyle name="Linked Cell 3" xfId="1052" xr:uid="{00000000-0005-0000-0000-000015040000}"/>
    <cellStyle name="Linked Cell 4" xfId="1053" xr:uid="{00000000-0005-0000-0000-000016040000}"/>
    <cellStyle name="Linked Cell 5" xfId="1054" xr:uid="{00000000-0005-0000-0000-000017040000}"/>
    <cellStyle name="Linked Cell 6" xfId="1055" xr:uid="{00000000-0005-0000-0000-000018040000}"/>
    <cellStyle name="Linked Cell 7" xfId="1056" xr:uid="{00000000-0005-0000-0000-000019040000}"/>
    <cellStyle name="Linked Cell 8" xfId="1057" xr:uid="{00000000-0005-0000-0000-00001A040000}"/>
    <cellStyle name="Linked Cell 9" xfId="1058" xr:uid="{00000000-0005-0000-0000-00001B040000}"/>
    <cellStyle name="Neutral 10" xfId="1059" xr:uid="{00000000-0005-0000-0000-00001C040000}"/>
    <cellStyle name="Neutral 11" xfId="1060" xr:uid="{00000000-0005-0000-0000-00001D040000}"/>
    <cellStyle name="Neutral 12" xfId="1061" xr:uid="{00000000-0005-0000-0000-00001E040000}"/>
    <cellStyle name="Neutral 13" xfId="1062" xr:uid="{00000000-0005-0000-0000-00001F040000}"/>
    <cellStyle name="Neutral 14" xfId="1063" xr:uid="{00000000-0005-0000-0000-000020040000}"/>
    <cellStyle name="Neutral 15" xfId="1064" xr:uid="{00000000-0005-0000-0000-000021040000}"/>
    <cellStyle name="Neutral 16" xfId="1065" xr:uid="{00000000-0005-0000-0000-000022040000}"/>
    <cellStyle name="Neutral 2" xfId="1066" xr:uid="{00000000-0005-0000-0000-000023040000}"/>
    <cellStyle name="Neutral 3" xfId="1067" xr:uid="{00000000-0005-0000-0000-000024040000}"/>
    <cellStyle name="Neutral 4" xfId="1068" xr:uid="{00000000-0005-0000-0000-000025040000}"/>
    <cellStyle name="Neutral 5" xfId="1069" xr:uid="{00000000-0005-0000-0000-000026040000}"/>
    <cellStyle name="Neutral 6" xfId="1070" xr:uid="{00000000-0005-0000-0000-000027040000}"/>
    <cellStyle name="Neutral 7" xfId="1071" xr:uid="{00000000-0005-0000-0000-000028040000}"/>
    <cellStyle name="Neutral 8" xfId="1072" xr:uid="{00000000-0005-0000-0000-000029040000}"/>
    <cellStyle name="Neutral 9" xfId="1073" xr:uid="{00000000-0005-0000-0000-00002A040000}"/>
    <cellStyle name="Normal 10" xfId="1074" xr:uid="{00000000-0005-0000-0000-00002B040000}"/>
    <cellStyle name="Normal 10 2" xfId="1" xr:uid="{00000000-0005-0000-0000-00002C040000}"/>
    <cellStyle name="Normal 10 2 2" xfId="1075" xr:uid="{00000000-0005-0000-0000-00002D040000}"/>
    <cellStyle name="Normal 10 3" xfId="1076" xr:uid="{00000000-0005-0000-0000-00002E040000}"/>
    <cellStyle name="Normal 10 4" xfId="1077" xr:uid="{00000000-0005-0000-0000-00002F040000}"/>
    <cellStyle name="Normal 10 5" xfId="1078" xr:uid="{00000000-0005-0000-0000-000030040000}"/>
    <cellStyle name="Normal 10 5 2" xfId="1079" xr:uid="{00000000-0005-0000-0000-000031040000}"/>
    <cellStyle name="Normal 10 5 2 2" xfId="1080" xr:uid="{00000000-0005-0000-0000-000032040000}"/>
    <cellStyle name="Normal 10 5 3" xfId="1081" xr:uid="{00000000-0005-0000-0000-000033040000}"/>
    <cellStyle name="Normal 10 6" xfId="1082" xr:uid="{00000000-0005-0000-0000-000034040000}"/>
    <cellStyle name="Normal 10 6 2" xfId="1083" xr:uid="{00000000-0005-0000-0000-000035040000}"/>
    <cellStyle name="Normal 10 7" xfId="1084" xr:uid="{00000000-0005-0000-0000-000036040000}"/>
    <cellStyle name="Normal 11" xfId="1085" xr:uid="{00000000-0005-0000-0000-000037040000}"/>
    <cellStyle name="Normal 12" xfId="1086" xr:uid="{00000000-0005-0000-0000-000038040000}"/>
    <cellStyle name="Normal 12 2" xfId="1087" xr:uid="{00000000-0005-0000-0000-000039040000}"/>
    <cellStyle name="Normal 12 2 2" xfId="1088" xr:uid="{00000000-0005-0000-0000-00003A040000}"/>
    <cellStyle name="Normal 13" xfId="2" xr:uid="{00000000-0005-0000-0000-00003B040000}"/>
    <cellStyle name="Normal 14" xfId="1089" xr:uid="{00000000-0005-0000-0000-00003C040000}"/>
    <cellStyle name="Normal 14 2" xfId="1090" xr:uid="{00000000-0005-0000-0000-00003D040000}"/>
    <cellStyle name="Normal 15" xfId="1091" xr:uid="{00000000-0005-0000-0000-00003E040000}"/>
    <cellStyle name="Normal 16" xfId="1092" xr:uid="{00000000-0005-0000-0000-00003F040000}"/>
    <cellStyle name="Normal 17" xfId="1093" xr:uid="{00000000-0005-0000-0000-000040040000}"/>
    <cellStyle name="Normal 18" xfId="1094" xr:uid="{00000000-0005-0000-0000-000041040000}"/>
    <cellStyle name="Normal 19" xfId="1095" xr:uid="{00000000-0005-0000-0000-000042040000}"/>
    <cellStyle name="Normal 2" xfId="1096" xr:uid="{00000000-0005-0000-0000-000043040000}"/>
    <cellStyle name="Normal 2 10" xfId="4" xr:uid="{00000000-0005-0000-0000-000044040000}"/>
    <cellStyle name="Normal 2 10 2" xfId="1098" xr:uid="{00000000-0005-0000-0000-000045040000}"/>
    <cellStyle name="Normal 2 10 3" xfId="1099" xr:uid="{00000000-0005-0000-0000-000046040000}"/>
    <cellStyle name="Normal 2 10 4" xfId="1100" xr:uid="{00000000-0005-0000-0000-000047040000}"/>
    <cellStyle name="Normal 2 10 5" xfId="1097" xr:uid="{00000000-0005-0000-0000-000048040000}"/>
    <cellStyle name="Normal 2 10 9" xfId="3" xr:uid="{00000000-0005-0000-0000-000049040000}"/>
    <cellStyle name="Normal 2 10 9 2" xfId="1102" xr:uid="{00000000-0005-0000-0000-00004A040000}"/>
    <cellStyle name="Normal 2 10 9 3" xfId="1101" xr:uid="{00000000-0005-0000-0000-00004B040000}"/>
    <cellStyle name="Normal 2 11" xfId="1103" xr:uid="{00000000-0005-0000-0000-00004C040000}"/>
    <cellStyle name="Normal 2 11 2" xfId="1104" xr:uid="{00000000-0005-0000-0000-00004D040000}"/>
    <cellStyle name="Normal 2 12" xfId="1105" xr:uid="{00000000-0005-0000-0000-00004E040000}"/>
    <cellStyle name="Normal 2 13" xfId="1106" xr:uid="{00000000-0005-0000-0000-00004F040000}"/>
    <cellStyle name="Normal 2 13 10" xfId="1107" xr:uid="{00000000-0005-0000-0000-000050040000}"/>
    <cellStyle name="Normal 2 13 11" xfId="1108" xr:uid="{00000000-0005-0000-0000-000051040000}"/>
    <cellStyle name="Normal 2 13 12" xfId="1109" xr:uid="{00000000-0005-0000-0000-000052040000}"/>
    <cellStyle name="Normal 2 13 13" xfId="1110" xr:uid="{00000000-0005-0000-0000-000053040000}"/>
    <cellStyle name="Normal 2 13 2" xfId="1111" xr:uid="{00000000-0005-0000-0000-000054040000}"/>
    <cellStyle name="Normal 2 13 2 10" xfId="1112" xr:uid="{00000000-0005-0000-0000-000055040000}"/>
    <cellStyle name="Normal 2 13 2 11" xfId="1113" xr:uid="{00000000-0005-0000-0000-000056040000}"/>
    <cellStyle name="Normal 2 13 2 12" xfId="1114" xr:uid="{00000000-0005-0000-0000-000057040000}"/>
    <cellStyle name="Normal 2 13 2 13" xfId="1115" xr:uid="{00000000-0005-0000-0000-000058040000}"/>
    <cellStyle name="Normal 2 13 2 2" xfId="1116" xr:uid="{00000000-0005-0000-0000-000059040000}"/>
    <cellStyle name="Normal 2 13 2 3" xfId="1117" xr:uid="{00000000-0005-0000-0000-00005A040000}"/>
    <cellStyle name="Normal 2 13 2 4" xfId="1118" xr:uid="{00000000-0005-0000-0000-00005B040000}"/>
    <cellStyle name="Normal 2 13 2 5" xfId="1119" xr:uid="{00000000-0005-0000-0000-00005C040000}"/>
    <cellStyle name="Normal 2 13 2 6" xfId="1120" xr:uid="{00000000-0005-0000-0000-00005D040000}"/>
    <cellStyle name="Normal 2 13 2 7" xfId="1121" xr:uid="{00000000-0005-0000-0000-00005E040000}"/>
    <cellStyle name="Normal 2 13 2 8" xfId="1122" xr:uid="{00000000-0005-0000-0000-00005F040000}"/>
    <cellStyle name="Normal 2 13 2 9" xfId="1123" xr:uid="{00000000-0005-0000-0000-000060040000}"/>
    <cellStyle name="Normal 2 13 3" xfId="1124" xr:uid="{00000000-0005-0000-0000-000061040000}"/>
    <cellStyle name="Normal 2 13 4" xfId="1125" xr:uid="{00000000-0005-0000-0000-000062040000}"/>
    <cellStyle name="Normal 2 13 5" xfId="1126" xr:uid="{00000000-0005-0000-0000-000063040000}"/>
    <cellStyle name="Normal 2 13 6" xfId="1127" xr:uid="{00000000-0005-0000-0000-000064040000}"/>
    <cellStyle name="Normal 2 13 7" xfId="1128" xr:uid="{00000000-0005-0000-0000-000065040000}"/>
    <cellStyle name="Normal 2 13 8" xfId="1129" xr:uid="{00000000-0005-0000-0000-000066040000}"/>
    <cellStyle name="Normal 2 13 9" xfId="1130" xr:uid="{00000000-0005-0000-0000-000067040000}"/>
    <cellStyle name="Normal 2 14" xfId="1131" xr:uid="{00000000-0005-0000-0000-000068040000}"/>
    <cellStyle name="Normal 2 15" xfId="1132" xr:uid="{00000000-0005-0000-0000-000069040000}"/>
    <cellStyle name="Normal 2 16" xfId="1133" xr:uid="{00000000-0005-0000-0000-00006A040000}"/>
    <cellStyle name="Normal 2 17" xfId="1134" xr:uid="{00000000-0005-0000-0000-00006B040000}"/>
    <cellStyle name="Normal 2 18" xfId="1135" xr:uid="{00000000-0005-0000-0000-00006C040000}"/>
    <cellStyle name="Normal 2 19" xfId="1136" xr:uid="{00000000-0005-0000-0000-00006D040000}"/>
    <cellStyle name="Normal 2 2" xfId="1137" xr:uid="{00000000-0005-0000-0000-00006E040000}"/>
    <cellStyle name="Normal 2 2 10" xfId="1138" xr:uid="{00000000-0005-0000-0000-00006F040000}"/>
    <cellStyle name="Normal 2 2 10 2" xfId="1139" xr:uid="{00000000-0005-0000-0000-000070040000}"/>
    <cellStyle name="Normal 2 2 11" xfId="1140" xr:uid="{00000000-0005-0000-0000-000071040000}"/>
    <cellStyle name="Normal 2 2 11 2" xfId="1141" xr:uid="{00000000-0005-0000-0000-000072040000}"/>
    <cellStyle name="Normal 2 2 12" xfId="1142" xr:uid="{00000000-0005-0000-0000-000073040000}"/>
    <cellStyle name="Normal 2 2 12 2" xfId="1143" xr:uid="{00000000-0005-0000-0000-000074040000}"/>
    <cellStyle name="Normal 2 2 13" xfId="1144" xr:uid="{00000000-0005-0000-0000-000075040000}"/>
    <cellStyle name="Normal 2 2 13 2" xfId="1145" xr:uid="{00000000-0005-0000-0000-000076040000}"/>
    <cellStyle name="Normal 2 2 14" xfId="1146" xr:uid="{00000000-0005-0000-0000-000077040000}"/>
    <cellStyle name="Normal 2 2 14 2" xfId="1147" xr:uid="{00000000-0005-0000-0000-000078040000}"/>
    <cellStyle name="Normal 2 2 15" xfId="1148" xr:uid="{00000000-0005-0000-0000-000079040000}"/>
    <cellStyle name="Normal 2 2 15 2" xfId="1149" xr:uid="{00000000-0005-0000-0000-00007A040000}"/>
    <cellStyle name="Normal 2 2 16" xfId="1150" xr:uid="{00000000-0005-0000-0000-00007B040000}"/>
    <cellStyle name="Normal 2 2 16 2" xfId="1151" xr:uid="{00000000-0005-0000-0000-00007C040000}"/>
    <cellStyle name="Normal 2 2 17" xfId="1152" xr:uid="{00000000-0005-0000-0000-00007D040000}"/>
    <cellStyle name="Normal 2 2 17 2" xfId="1153" xr:uid="{00000000-0005-0000-0000-00007E040000}"/>
    <cellStyle name="Normal 2 2 18" xfId="1154" xr:uid="{00000000-0005-0000-0000-00007F040000}"/>
    <cellStyle name="Normal 2 2 18 2" xfId="1155" xr:uid="{00000000-0005-0000-0000-000080040000}"/>
    <cellStyle name="Normal 2 2 19" xfId="1156" xr:uid="{00000000-0005-0000-0000-000081040000}"/>
    <cellStyle name="Normal 2 2 19 2" xfId="1157" xr:uid="{00000000-0005-0000-0000-000082040000}"/>
    <cellStyle name="Normal 2 2 2" xfId="1158" xr:uid="{00000000-0005-0000-0000-000083040000}"/>
    <cellStyle name="Normal 2 2 2 2" xfId="1159" xr:uid="{00000000-0005-0000-0000-000084040000}"/>
    <cellStyle name="Normal 2 2 20" xfId="1160" xr:uid="{00000000-0005-0000-0000-000085040000}"/>
    <cellStyle name="Normal 2 2 21" xfId="1161" xr:uid="{00000000-0005-0000-0000-000086040000}"/>
    <cellStyle name="Normal 2 2 22" xfId="1162" xr:uid="{00000000-0005-0000-0000-000087040000}"/>
    <cellStyle name="Normal 2 2 3" xfId="6" xr:uid="{00000000-0005-0000-0000-000088040000}"/>
    <cellStyle name="Normal 2 2 4" xfId="1163" xr:uid="{00000000-0005-0000-0000-000089040000}"/>
    <cellStyle name="Normal 2 2 4 10" xfId="1164" xr:uid="{00000000-0005-0000-0000-00008A040000}"/>
    <cellStyle name="Normal 2 2 4 11" xfId="1165" xr:uid="{00000000-0005-0000-0000-00008B040000}"/>
    <cellStyle name="Normal 2 2 4 12" xfId="1166" xr:uid="{00000000-0005-0000-0000-00008C040000}"/>
    <cellStyle name="Normal 2 2 4 13" xfId="1167" xr:uid="{00000000-0005-0000-0000-00008D040000}"/>
    <cellStyle name="Normal 2 2 4 14" xfId="1168" xr:uid="{00000000-0005-0000-0000-00008E040000}"/>
    <cellStyle name="Normal 2 2 4 2" xfId="1169" xr:uid="{00000000-0005-0000-0000-00008F040000}"/>
    <cellStyle name="Normal 2 2 4 2 10" xfId="1170" xr:uid="{00000000-0005-0000-0000-000090040000}"/>
    <cellStyle name="Normal 2 2 4 2 10 2" xfId="1171" xr:uid="{00000000-0005-0000-0000-000091040000}"/>
    <cellStyle name="Normal 2 2 4 2 11" xfId="1172" xr:uid="{00000000-0005-0000-0000-000092040000}"/>
    <cellStyle name="Normal 2 2 4 2 11 2" xfId="1173" xr:uid="{00000000-0005-0000-0000-000093040000}"/>
    <cellStyle name="Normal 2 2 4 2 12" xfId="1174" xr:uid="{00000000-0005-0000-0000-000094040000}"/>
    <cellStyle name="Normal 2 2 4 2 12 2" xfId="1175" xr:uid="{00000000-0005-0000-0000-000095040000}"/>
    <cellStyle name="Normal 2 2 4 2 13" xfId="1176" xr:uid="{00000000-0005-0000-0000-000096040000}"/>
    <cellStyle name="Normal 2 2 4 2 13 2" xfId="1177" xr:uid="{00000000-0005-0000-0000-000097040000}"/>
    <cellStyle name="Normal 2 2 4 2 2" xfId="1178" xr:uid="{00000000-0005-0000-0000-000098040000}"/>
    <cellStyle name="Normal 2 2 4 2 2 2" xfId="1179" xr:uid="{00000000-0005-0000-0000-000099040000}"/>
    <cellStyle name="Normal 2 2 4 2 3" xfId="1180" xr:uid="{00000000-0005-0000-0000-00009A040000}"/>
    <cellStyle name="Normal 2 2 4 2 3 2" xfId="1181" xr:uid="{00000000-0005-0000-0000-00009B040000}"/>
    <cellStyle name="Normal 2 2 4 2 4" xfId="1182" xr:uid="{00000000-0005-0000-0000-00009C040000}"/>
    <cellStyle name="Normal 2 2 4 2 4 2" xfId="1183" xr:uid="{00000000-0005-0000-0000-00009D040000}"/>
    <cellStyle name="Normal 2 2 4 2 5" xfId="1184" xr:uid="{00000000-0005-0000-0000-00009E040000}"/>
    <cellStyle name="Normal 2 2 4 2 5 2" xfId="1185" xr:uid="{00000000-0005-0000-0000-00009F040000}"/>
    <cellStyle name="Normal 2 2 4 2 6" xfId="1186" xr:uid="{00000000-0005-0000-0000-0000A0040000}"/>
    <cellStyle name="Normal 2 2 4 2 6 2" xfId="1187" xr:uid="{00000000-0005-0000-0000-0000A1040000}"/>
    <cellStyle name="Normal 2 2 4 2 7" xfId="1188" xr:uid="{00000000-0005-0000-0000-0000A2040000}"/>
    <cellStyle name="Normal 2 2 4 2 7 2" xfId="1189" xr:uid="{00000000-0005-0000-0000-0000A3040000}"/>
    <cellStyle name="Normal 2 2 4 2 8" xfId="1190" xr:uid="{00000000-0005-0000-0000-0000A4040000}"/>
    <cellStyle name="Normal 2 2 4 2 8 2" xfId="1191" xr:uid="{00000000-0005-0000-0000-0000A5040000}"/>
    <cellStyle name="Normal 2 2 4 2 9" xfId="1192" xr:uid="{00000000-0005-0000-0000-0000A6040000}"/>
    <cellStyle name="Normal 2 2 4 2 9 2" xfId="1193" xr:uid="{00000000-0005-0000-0000-0000A7040000}"/>
    <cellStyle name="Normal 2 2 4 3" xfId="1194" xr:uid="{00000000-0005-0000-0000-0000A8040000}"/>
    <cellStyle name="Normal 2 2 4 4" xfId="1195" xr:uid="{00000000-0005-0000-0000-0000A9040000}"/>
    <cellStyle name="Normal 2 2 4 5" xfId="1196" xr:uid="{00000000-0005-0000-0000-0000AA040000}"/>
    <cellStyle name="Normal 2 2 4 6" xfId="1197" xr:uid="{00000000-0005-0000-0000-0000AB040000}"/>
    <cellStyle name="Normal 2 2 4 7" xfId="1198" xr:uid="{00000000-0005-0000-0000-0000AC040000}"/>
    <cellStyle name="Normal 2 2 4 8" xfId="1199" xr:uid="{00000000-0005-0000-0000-0000AD040000}"/>
    <cellStyle name="Normal 2 2 4 9" xfId="1200" xr:uid="{00000000-0005-0000-0000-0000AE040000}"/>
    <cellStyle name="Normal 2 2 5" xfId="1201" xr:uid="{00000000-0005-0000-0000-0000AF040000}"/>
    <cellStyle name="Normal 2 2 5 2" xfId="1202" xr:uid="{00000000-0005-0000-0000-0000B0040000}"/>
    <cellStyle name="Normal 2 2 6" xfId="1203" xr:uid="{00000000-0005-0000-0000-0000B1040000}"/>
    <cellStyle name="Normal 2 2 6 2" xfId="1204" xr:uid="{00000000-0005-0000-0000-0000B2040000}"/>
    <cellStyle name="Normal 2 2 7" xfId="1205" xr:uid="{00000000-0005-0000-0000-0000B3040000}"/>
    <cellStyle name="Normal 2 2 7 2" xfId="1206" xr:uid="{00000000-0005-0000-0000-0000B4040000}"/>
    <cellStyle name="Normal 2 2 8" xfId="1207" xr:uid="{00000000-0005-0000-0000-0000B5040000}"/>
    <cellStyle name="Normal 2 2 8 2" xfId="1208" xr:uid="{00000000-0005-0000-0000-0000B6040000}"/>
    <cellStyle name="Normal 2 2 8 2 2" xfId="1209" xr:uid="{00000000-0005-0000-0000-0000B7040000}"/>
    <cellStyle name="Normal 2 2 8 3" xfId="1210" xr:uid="{00000000-0005-0000-0000-0000B8040000}"/>
    <cellStyle name="Normal 2 2 9" xfId="1211" xr:uid="{00000000-0005-0000-0000-0000B9040000}"/>
    <cellStyle name="Normal 2 2 9 2" xfId="1212" xr:uid="{00000000-0005-0000-0000-0000BA040000}"/>
    <cellStyle name="Normal 2 20" xfId="1213" xr:uid="{00000000-0005-0000-0000-0000BB040000}"/>
    <cellStyle name="Normal 2 21" xfId="1214" xr:uid="{00000000-0005-0000-0000-0000BC040000}"/>
    <cellStyle name="Normal 2 22" xfId="1215" xr:uid="{00000000-0005-0000-0000-0000BD040000}"/>
    <cellStyle name="Normal 2 23" xfId="1216" xr:uid="{00000000-0005-0000-0000-0000BE040000}"/>
    <cellStyle name="Normal 2 24" xfId="1217" xr:uid="{00000000-0005-0000-0000-0000BF040000}"/>
    <cellStyle name="Normal 2 25" xfId="1218" xr:uid="{00000000-0005-0000-0000-0000C0040000}"/>
    <cellStyle name="Normal 2 26" xfId="1219" xr:uid="{00000000-0005-0000-0000-0000C1040000}"/>
    <cellStyle name="Normal 2 27" xfId="1220" xr:uid="{00000000-0005-0000-0000-0000C2040000}"/>
    <cellStyle name="Normal 2 28" xfId="1221" xr:uid="{00000000-0005-0000-0000-0000C3040000}"/>
    <cellStyle name="Normal 2 3" xfId="1222" xr:uid="{00000000-0005-0000-0000-0000C4040000}"/>
    <cellStyle name="Normal 2 3 2" xfId="1223" xr:uid="{00000000-0005-0000-0000-0000C5040000}"/>
    <cellStyle name="Normal 2 4" xfId="10" xr:uid="{00000000-0005-0000-0000-0000C6040000}"/>
    <cellStyle name="Normal 2 5" xfId="1224" xr:uid="{00000000-0005-0000-0000-0000C7040000}"/>
    <cellStyle name="Normal 2 6" xfId="1225" xr:uid="{00000000-0005-0000-0000-0000C8040000}"/>
    <cellStyle name="Normal 2 7" xfId="1226" xr:uid="{00000000-0005-0000-0000-0000C9040000}"/>
    <cellStyle name="Normal 2 7 2" xfId="1227" xr:uid="{00000000-0005-0000-0000-0000CA040000}"/>
    <cellStyle name="Normal 2 8" xfId="1228" xr:uid="{00000000-0005-0000-0000-0000CB040000}"/>
    <cellStyle name="Normal 2 8 2" xfId="1229" xr:uid="{00000000-0005-0000-0000-0000CC040000}"/>
    <cellStyle name="Normal 2 9" xfId="1230" xr:uid="{00000000-0005-0000-0000-0000CD040000}"/>
    <cellStyle name="Normal 2 9 2" xfId="1231" xr:uid="{00000000-0005-0000-0000-0000CE040000}"/>
    <cellStyle name="Normal 2_2210_2220_2230_2240_2250_2260" xfId="1232" xr:uid="{00000000-0005-0000-0000-0000CF040000}"/>
    <cellStyle name="Normal 20" xfId="1233" xr:uid="{00000000-0005-0000-0000-0000D0040000}"/>
    <cellStyle name="Normal 21" xfId="1234" xr:uid="{00000000-0005-0000-0000-0000D1040000}"/>
    <cellStyle name="Normal 22" xfId="1235" xr:uid="{00000000-0005-0000-0000-0000D2040000}"/>
    <cellStyle name="Normal 23" xfId="1236" xr:uid="{00000000-0005-0000-0000-0000D3040000}"/>
    <cellStyle name="Normal 24" xfId="1237" xr:uid="{00000000-0005-0000-0000-0000D4040000}"/>
    <cellStyle name="Normal 25" xfId="1238" xr:uid="{00000000-0005-0000-0000-0000D5040000}"/>
    <cellStyle name="Normal 26" xfId="8" xr:uid="{00000000-0005-0000-0000-0000D6040000}"/>
    <cellStyle name="Normal 26 2" xfId="1240" xr:uid="{00000000-0005-0000-0000-0000D7040000}"/>
    <cellStyle name="Normal 26 3" xfId="1241" xr:uid="{00000000-0005-0000-0000-0000D8040000}"/>
    <cellStyle name="Normal 26 4" xfId="1239" xr:uid="{00000000-0005-0000-0000-0000D9040000}"/>
    <cellStyle name="Normal 27" xfId="11" xr:uid="{00000000-0005-0000-0000-0000DA040000}"/>
    <cellStyle name="Normal 28" xfId="1242" xr:uid="{00000000-0005-0000-0000-0000DB040000}"/>
    <cellStyle name="Normal 29" xfId="1243" xr:uid="{00000000-0005-0000-0000-0000DC040000}"/>
    <cellStyle name="Normal 29 2" xfId="1244" xr:uid="{00000000-0005-0000-0000-0000DD040000}"/>
    <cellStyle name="Normal 3" xfId="1245" xr:uid="{00000000-0005-0000-0000-0000DE040000}"/>
    <cellStyle name="Normal 3 10" xfId="1246" xr:uid="{00000000-0005-0000-0000-0000DF040000}"/>
    <cellStyle name="Normal 3 10 2" xfId="1247" xr:uid="{00000000-0005-0000-0000-0000E0040000}"/>
    <cellStyle name="Normal 3 11" xfId="1248" xr:uid="{00000000-0005-0000-0000-0000E1040000}"/>
    <cellStyle name="Normal 3 12" xfId="1249" xr:uid="{00000000-0005-0000-0000-0000E2040000}"/>
    <cellStyle name="Normal 3 13" xfId="1250" xr:uid="{00000000-0005-0000-0000-0000E3040000}"/>
    <cellStyle name="Normal 3 14" xfId="1251" xr:uid="{00000000-0005-0000-0000-0000E4040000}"/>
    <cellStyle name="Normal 3 15" xfId="1252" xr:uid="{00000000-0005-0000-0000-0000E5040000}"/>
    <cellStyle name="Normal 3 16" xfId="1253" xr:uid="{00000000-0005-0000-0000-0000E6040000}"/>
    <cellStyle name="Normal 3 17" xfId="1254" xr:uid="{00000000-0005-0000-0000-0000E7040000}"/>
    <cellStyle name="Normal 3 18" xfId="1255" xr:uid="{00000000-0005-0000-0000-0000E8040000}"/>
    <cellStyle name="Normal 3 19" xfId="1256" xr:uid="{00000000-0005-0000-0000-0000E9040000}"/>
    <cellStyle name="Normal 3 2" xfId="1257" xr:uid="{00000000-0005-0000-0000-0000EA040000}"/>
    <cellStyle name="Normal 3 2 2" xfId="1258" xr:uid="{00000000-0005-0000-0000-0000EB040000}"/>
    <cellStyle name="Normal 3 20" xfId="1259" xr:uid="{00000000-0005-0000-0000-0000EC040000}"/>
    <cellStyle name="Normal 3 21" xfId="1260" xr:uid="{00000000-0005-0000-0000-0000ED040000}"/>
    <cellStyle name="Normal 3 22" xfId="1261" xr:uid="{00000000-0005-0000-0000-0000EE040000}"/>
    <cellStyle name="Normal 3 23" xfId="1262" xr:uid="{00000000-0005-0000-0000-0000EF040000}"/>
    <cellStyle name="Normal 3 24" xfId="1462" xr:uid="{00000000-0005-0000-0000-0000F0040000}"/>
    <cellStyle name="Normal 3 3" xfId="1263" xr:uid="{00000000-0005-0000-0000-0000F1040000}"/>
    <cellStyle name="Normal 3 3 2" xfId="1264" xr:uid="{00000000-0005-0000-0000-0000F2040000}"/>
    <cellStyle name="Normal 3 4" xfId="1265" xr:uid="{00000000-0005-0000-0000-0000F3040000}"/>
    <cellStyle name="Normal 3 4 2" xfId="1266" xr:uid="{00000000-0005-0000-0000-0000F4040000}"/>
    <cellStyle name="Normal 3 5" xfId="1267" xr:uid="{00000000-0005-0000-0000-0000F5040000}"/>
    <cellStyle name="Normal 3 6" xfId="1268" xr:uid="{00000000-0005-0000-0000-0000F6040000}"/>
    <cellStyle name="Normal 3 6 2" xfId="1269" xr:uid="{00000000-0005-0000-0000-0000F7040000}"/>
    <cellStyle name="Normal 3 7" xfId="1270" xr:uid="{00000000-0005-0000-0000-0000F8040000}"/>
    <cellStyle name="Normal 3 7 2" xfId="1271" xr:uid="{00000000-0005-0000-0000-0000F9040000}"/>
    <cellStyle name="Normal 3 8" xfId="1272" xr:uid="{00000000-0005-0000-0000-0000FA040000}"/>
    <cellStyle name="Normal 3 8 2" xfId="1273" xr:uid="{00000000-0005-0000-0000-0000FB040000}"/>
    <cellStyle name="Normal 3 9" xfId="1274" xr:uid="{00000000-0005-0000-0000-0000FC040000}"/>
    <cellStyle name="Normal 3 9 2" xfId="1275" xr:uid="{00000000-0005-0000-0000-0000FD040000}"/>
    <cellStyle name="Normal 3_2210_2220_2230_2240_2250_2260" xfId="1276" xr:uid="{00000000-0005-0000-0000-0000FE040000}"/>
    <cellStyle name="Normal 30" xfId="1277" xr:uid="{00000000-0005-0000-0000-0000FF040000}"/>
    <cellStyle name="Normal 30 2" xfId="1278" xr:uid="{00000000-0005-0000-0000-000000050000}"/>
    <cellStyle name="Normal 31" xfId="1279" xr:uid="{00000000-0005-0000-0000-000001050000}"/>
    <cellStyle name="Normal 31 2" xfId="1280" xr:uid="{00000000-0005-0000-0000-000002050000}"/>
    <cellStyle name="Normal 32" xfId="1281" xr:uid="{00000000-0005-0000-0000-000003050000}"/>
    <cellStyle name="Normal 32 2" xfId="1282" xr:uid="{00000000-0005-0000-0000-000004050000}"/>
    <cellStyle name="Normal 32 2 2" xfId="1283" xr:uid="{00000000-0005-0000-0000-000005050000}"/>
    <cellStyle name="Normal 32 3" xfId="1284" xr:uid="{00000000-0005-0000-0000-000006050000}"/>
    <cellStyle name="Normal 32 3 2" xfId="1285" xr:uid="{00000000-0005-0000-0000-000007050000}"/>
    <cellStyle name="Normal 32 4" xfId="1286" xr:uid="{00000000-0005-0000-0000-000008050000}"/>
    <cellStyle name="Normal 32 4 2" xfId="1287" xr:uid="{00000000-0005-0000-0000-000009050000}"/>
    <cellStyle name="Normal 32 5" xfId="1288" xr:uid="{00000000-0005-0000-0000-00000A050000}"/>
    <cellStyle name="Normal 33" xfId="1289" xr:uid="{00000000-0005-0000-0000-00000B050000}"/>
    <cellStyle name="Normal 33 2" xfId="1290" xr:uid="{00000000-0005-0000-0000-00000C050000}"/>
    <cellStyle name="Normal 34" xfId="1291" xr:uid="{00000000-0005-0000-0000-00000D050000}"/>
    <cellStyle name="Normal 34 2" xfId="1292" xr:uid="{00000000-0005-0000-0000-00000E050000}"/>
    <cellStyle name="Normal 35" xfId="1293" xr:uid="{00000000-0005-0000-0000-00000F050000}"/>
    <cellStyle name="Normal 35 2" xfId="1294" xr:uid="{00000000-0005-0000-0000-000010050000}"/>
    <cellStyle name="Normal 36" xfId="1295" xr:uid="{00000000-0005-0000-0000-000011050000}"/>
    <cellStyle name="Normal 36 2" xfId="1296" xr:uid="{00000000-0005-0000-0000-000012050000}"/>
    <cellStyle name="Normal 37" xfId="1297" xr:uid="{00000000-0005-0000-0000-000013050000}"/>
    <cellStyle name="Normal 37 2" xfId="1298" xr:uid="{00000000-0005-0000-0000-000014050000}"/>
    <cellStyle name="Normal 38" xfId="1299" xr:uid="{00000000-0005-0000-0000-000015050000}"/>
    <cellStyle name="Normal 39" xfId="1461" xr:uid="{00000000-0005-0000-0000-000016050000}"/>
    <cellStyle name="Normal 4" xfId="1300" xr:uid="{00000000-0005-0000-0000-000017050000}"/>
    <cellStyle name="Normal 4 10" xfId="1301" xr:uid="{00000000-0005-0000-0000-000018050000}"/>
    <cellStyle name="Normal 4 11" xfId="1302" xr:uid="{00000000-0005-0000-0000-000019050000}"/>
    <cellStyle name="Normal 4 12" xfId="1303" xr:uid="{00000000-0005-0000-0000-00001A050000}"/>
    <cellStyle name="Normal 4 13" xfId="1304" xr:uid="{00000000-0005-0000-0000-00001B050000}"/>
    <cellStyle name="Normal 4 14" xfId="1305" xr:uid="{00000000-0005-0000-0000-00001C050000}"/>
    <cellStyle name="Normal 4 15" xfId="1306" xr:uid="{00000000-0005-0000-0000-00001D050000}"/>
    <cellStyle name="Normal 4 16" xfId="1307" xr:uid="{00000000-0005-0000-0000-00001E050000}"/>
    <cellStyle name="Normal 4 17" xfId="1308" xr:uid="{00000000-0005-0000-0000-00001F050000}"/>
    <cellStyle name="Normal 4 2" xfId="1309" xr:uid="{00000000-0005-0000-0000-000020050000}"/>
    <cellStyle name="Normal 4 2 2" xfId="1310" xr:uid="{00000000-0005-0000-0000-000021050000}"/>
    <cellStyle name="Normal 4 2 2 2" xfId="1311" xr:uid="{00000000-0005-0000-0000-000022050000}"/>
    <cellStyle name="Normal 4 2 3" xfId="1312" xr:uid="{00000000-0005-0000-0000-000023050000}"/>
    <cellStyle name="Normal 4 3" xfId="1313" xr:uid="{00000000-0005-0000-0000-000024050000}"/>
    <cellStyle name="Normal 4 3 2" xfId="1314" xr:uid="{00000000-0005-0000-0000-000025050000}"/>
    <cellStyle name="Normal 4 4" xfId="1315" xr:uid="{00000000-0005-0000-0000-000026050000}"/>
    <cellStyle name="Normal 4 4 2" xfId="1316" xr:uid="{00000000-0005-0000-0000-000027050000}"/>
    <cellStyle name="Normal 4 5" xfId="1317" xr:uid="{00000000-0005-0000-0000-000028050000}"/>
    <cellStyle name="Normal 4 6" xfId="1318" xr:uid="{00000000-0005-0000-0000-000029050000}"/>
    <cellStyle name="Normal 4 7" xfId="1319" xr:uid="{00000000-0005-0000-0000-00002A050000}"/>
    <cellStyle name="Normal 4 8" xfId="1320" xr:uid="{00000000-0005-0000-0000-00002B050000}"/>
    <cellStyle name="Normal 4 9" xfId="1321" xr:uid="{00000000-0005-0000-0000-00002C050000}"/>
    <cellStyle name="Normal 4_2210_2220_2230_2240_2250_2260" xfId="1322" xr:uid="{00000000-0005-0000-0000-00002D050000}"/>
    <cellStyle name="Normal 40" xfId="1466" xr:uid="{00000000-0005-0000-0000-00002E050000}"/>
    <cellStyle name="Normal 45" xfId="1323" xr:uid="{00000000-0005-0000-0000-00002F050000}"/>
    <cellStyle name="Normal 45 2" xfId="1324" xr:uid="{00000000-0005-0000-0000-000030050000}"/>
    <cellStyle name="Normal 45 2 2" xfId="1325" xr:uid="{00000000-0005-0000-0000-000031050000}"/>
    <cellStyle name="Normal 45 3" xfId="1326" xr:uid="{00000000-0005-0000-0000-000032050000}"/>
    <cellStyle name="Normal 45 3 2" xfId="1327" xr:uid="{00000000-0005-0000-0000-000033050000}"/>
    <cellStyle name="Normal 45 4" xfId="1328" xr:uid="{00000000-0005-0000-0000-000034050000}"/>
    <cellStyle name="Normal 45 4 2" xfId="1329" xr:uid="{00000000-0005-0000-0000-000035050000}"/>
    <cellStyle name="Normal 45 5" xfId="1330" xr:uid="{00000000-0005-0000-0000-000036050000}"/>
    <cellStyle name="Normal 5" xfId="1331" xr:uid="{00000000-0005-0000-0000-000037050000}"/>
    <cellStyle name="Normal 5 2" xfId="1332" xr:uid="{00000000-0005-0000-0000-000038050000}"/>
    <cellStyle name="Normal 5 3" xfId="1333" xr:uid="{00000000-0005-0000-0000-000039050000}"/>
    <cellStyle name="Normal 50" xfId="1334" xr:uid="{00000000-0005-0000-0000-00003A050000}"/>
    <cellStyle name="Normal 50 2" xfId="1335" xr:uid="{00000000-0005-0000-0000-00003B050000}"/>
    <cellStyle name="Normal 50 2 2" xfId="1336" xr:uid="{00000000-0005-0000-0000-00003C050000}"/>
    <cellStyle name="Normal 50 3" xfId="1337" xr:uid="{00000000-0005-0000-0000-00003D050000}"/>
    <cellStyle name="Normal 50 3 2" xfId="1338" xr:uid="{00000000-0005-0000-0000-00003E050000}"/>
    <cellStyle name="Normal 50 4" xfId="1339" xr:uid="{00000000-0005-0000-0000-00003F050000}"/>
    <cellStyle name="Normal 51" xfId="1340" xr:uid="{00000000-0005-0000-0000-000040050000}"/>
    <cellStyle name="Normal 51 2" xfId="1341" xr:uid="{00000000-0005-0000-0000-000041050000}"/>
    <cellStyle name="Normal 51 2 2" xfId="1342" xr:uid="{00000000-0005-0000-0000-000042050000}"/>
    <cellStyle name="Normal 51 3" xfId="1343" xr:uid="{00000000-0005-0000-0000-000043050000}"/>
    <cellStyle name="Normal 51 3 2" xfId="1344" xr:uid="{00000000-0005-0000-0000-000044050000}"/>
    <cellStyle name="Normal 51 4" xfId="1345" xr:uid="{00000000-0005-0000-0000-000045050000}"/>
    <cellStyle name="Normal 6" xfId="1346" xr:uid="{00000000-0005-0000-0000-000046050000}"/>
    <cellStyle name="Normal 6 2" xfId="1347" xr:uid="{00000000-0005-0000-0000-000047050000}"/>
    <cellStyle name="Normal 6 2 2" xfId="1348" xr:uid="{00000000-0005-0000-0000-000048050000}"/>
    <cellStyle name="Normal 6 3" xfId="1349" xr:uid="{00000000-0005-0000-0000-000049050000}"/>
    <cellStyle name="Normal 6 4" xfId="1350" xr:uid="{00000000-0005-0000-0000-00004A050000}"/>
    <cellStyle name="Normal 6 4 2" xfId="7" xr:uid="{00000000-0005-0000-0000-00004B050000}"/>
    <cellStyle name="Normal 6 4 2 2" xfId="1352" xr:uid="{00000000-0005-0000-0000-00004C050000}"/>
    <cellStyle name="Normal 6 4 2 2 2" xfId="1353" xr:uid="{00000000-0005-0000-0000-00004D050000}"/>
    <cellStyle name="Normal 6 4 2 3" xfId="1354" xr:uid="{00000000-0005-0000-0000-00004E050000}"/>
    <cellStyle name="Normal 6 4 2 4" xfId="1355" xr:uid="{00000000-0005-0000-0000-00004F050000}"/>
    <cellStyle name="Normal 6 4 2 5" xfId="1351" xr:uid="{00000000-0005-0000-0000-000050050000}"/>
    <cellStyle name="Normal 6 4 3" xfId="1356" xr:uid="{00000000-0005-0000-0000-000051050000}"/>
    <cellStyle name="Normal 60 2" xfId="1357" xr:uid="{00000000-0005-0000-0000-000052050000}"/>
    <cellStyle name="Normal 60 2 2" xfId="1358" xr:uid="{00000000-0005-0000-0000-000053050000}"/>
    <cellStyle name="Normal 7" xfId="1359" xr:uid="{00000000-0005-0000-0000-000054050000}"/>
    <cellStyle name="Normal 70" xfId="1360" xr:uid="{00000000-0005-0000-0000-000055050000}"/>
    <cellStyle name="Normal 8" xfId="1361" xr:uid="{00000000-0005-0000-0000-000056050000}"/>
    <cellStyle name="Normal 8 2" xfId="5" xr:uid="{00000000-0005-0000-0000-000057050000}"/>
    <cellStyle name="Normal 9" xfId="1362" xr:uid="{00000000-0005-0000-0000-000058050000}"/>
    <cellStyle name="Normal_Sheet3" xfId="1467" xr:uid="{00000000-0005-0000-0000-000059050000}"/>
    <cellStyle name="Note 10" xfId="1363" xr:uid="{00000000-0005-0000-0000-00005A050000}"/>
    <cellStyle name="Note 11" xfId="1364" xr:uid="{00000000-0005-0000-0000-00005B050000}"/>
    <cellStyle name="Note 12" xfId="1365" xr:uid="{00000000-0005-0000-0000-00005C050000}"/>
    <cellStyle name="Note 13" xfId="1366" xr:uid="{00000000-0005-0000-0000-00005D050000}"/>
    <cellStyle name="Note 14" xfId="1367" xr:uid="{00000000-0005-0000-0000-00005E050000}"/>
    <cellStyle name="Note 15" xfId="1368" xr:uid="{00000000-0005-0000-0000-00005F050000}"/>
    <cellStyle name="Note 16" xfId="1369" xr:uid="{00000000-0005-0000-0000-000060050000}"/>
    <cellStyle name="Note 2" xfId="1370" xr:uid="{00000000-0005-0000-0000-000061050000}"/>
    <cellStyle name="Note 3" xfId="1371" xr:uid="{00000000-0005-0000-0000-000062050000}"/>
    <cellStyle name="Note 4" xfId="1372" xr:uid="{00000000-0005-0000-0000-000063050000}"/>
    <cellStyle name="Note 5" xfId="1373" xr:uid="{00000000-0005-0000-0000-000064050000}"/>
    <cellStyle name="Note 6" xfId="1374" xr:uid="{00000000-0005-0000-0000-000065050000}"/>
    <cellStyle name="Note 7" xfId="1375" xr:uid="{00000000-0005-0000-0000-000066050000}"/>
    <cellStyle name="Note 8" xfId="1376" xr:uid="{00000000-0005-0000-0000-000067050000}"/>
    <cellStyle name="Note 9" xfId="1377" xr:uid="{00000000-0005-0000-0000-000068050000}"/>
    <cellStyle name="Output 10" xfId="1378" xr:uid="{00000000-0005-0000-0000-000069050000}"/>
    <cellStyle name="Output 11" xfId="1379" xr:uid="{00000000-0005-0000-0000-00006A050000}"/>
    <cellStyle name="Output 12" xfId="1380" xr:uid="{00000000-0005-0000-0000-00006B050000}"/>
    <cellStyle name="Output 13" xfId="1381" xr:uid="{00000000-0005-0000-0000-00006C050000}"/>
    <cellStyle name="Output 14" xfId="1382" xr:uid="{00000000-0005-0000-0000-00006D050000}"/>
    <cellStyle name="Output 15" xfId="1383" xr:uid="{00000000-0005-0000-0000-00006E050000}"/>
    <cellStyle name="Output 16" xfId="1384" xr:uid="{00000000-0005-0000-0000-00006F050000}"/>
    <cellStyle name="Output 2" xfId="1385" xr:uid="{00000000-0005-0000-0000-000070050000}"/>
    <cellStyle name="Output 3" xfId="1386" xr:uid="{00000000-0005-0000-0000-000071050000}"/>
    <cellStyle name="Output 4" xfId="1387" xr:uid="{00000000-0005-0000-0000-000072050000}"/>
    <cellStyle name="Output 5" xfId="1388" xr:uid="{00000000-0005-0000-0000-000073050000}"/>
    <cellStyle name="Output 6" xfId="1389" xr:uid="{00000000-0005-0000-0000-000074050000}"/>
    <cellStyle name="Output 7" xfId="1390" xr:uid="{00000000-0005-0000-0000-000075050000}"/>
    <cellStyle name="Output 8" xfId="1391" xr:uid="{00000000-0005-0000-0000-000076050000}"/>
    <cellStyle name="Output 9" xfId="1392" xr:uid="{00000000-0005-0000-0000-000077050000}"/>
    <cellStyle name="Parasts" xfId="0" builtinId="0"/>
    <cellStyle name="Percent 2" xfId="1393" xr:uid="{00000000-0005-0000-0000-000078050000}"/>
    <cellStyle name="Percent 2 2" xfId="1394" xr:uid="{00000000-0005-0000-0000-000079050000}"/>
    <cellStyle name="Percent 3" xfId="1395" xr:uid="{00000000-0005-0000-0000-00007A050000}"/>
    <cellStyle name="Percent 4" xfId="1396" xr:uid="{00000000-0005-0000-0000-00007B050000}"/>
    <cellStyle name="Percent 5" xfId="1397" xr:uid="{00000000-0005-0000-0000-00007C050000}"/>
    <cellStyle name="Percent 6" xfId="1398" xr:uid="{00000000-0005-0000-0000-00007D050000}"/>
    <cellStyle name="Percent 6 2" xfId="1399" xr:uid="{00000000-0005-0000-0000-00007E050000}"/>
    <cellStyle name="Procenti" xfId="12" builtinId="5"/>
    <cellStyle name="Title 10" xfId="1400" xr:uid="{00000000-0005-0000-0000-00007F050000}"/>
    <cellStyle name="Title 11" xfId="1401" xr:uid="{00000000-0005-0000-0000-000080050000}"/>
    <cellStyle name="Title 12" xfId="1402" xr:uid="{00000000-0005-0000-0000-000081050000}"/>
    <cellStyle name="Title 13" xfId="1403" xr:uid="{00000000-0005-0000-0000-000082050000}"/>
    <cellStyle name="Title 14" xfId="1404" xr:uid="{00000000-0005-0000-0000-000083050000}"/>
    <cellStyle name="Title 15" xfId="1405" xr:uid="{00000000-0005-0000-0000-000084050000}"/>
    <cellStyle name="Title 16" xfId="1406" xr:uid="{00000000-0005-0000-0000-000085050000}"/>
    <cellStyle name="Title 2" xfId="1407" xr:uid="{00000000-0005-0000-0000-000086050000}"/>
    <cellStyle name="Title 3" xfId="1408" xr:uid="{00000000-0005-0000-0000-000087050000}"/>
    <cellStyle name="Title 4" xfId="1409" xr:uid="{00000000-0005-0000-0000-000088050000}"/>
    <cellStyle name="Title 5" xfId="1410" xr:uid="{00000000-0005-0000-0000-000089050000}"/>
    <cellStyle name="Title 6" xfId="1411" xr:uid="{00000000-0005-0000-0000-00008A050000}"/>
    <cellStyle name="Title 7" xfId="1412" xr:uid="{00000000-0005-0000-0000-00008B050000}"/>
    <cellStyle name="Title 8" xfId="1413" xr:uid="{00000000-0005-0000-0000-00008C050000}"/>
    <cellStyle name="Title 9" xfId="1414" xr:uid="{00000000-0005-0000-0000-00008D050000}"/>
    <cellStyle name="Total 10" xfId="1415" xr:uid="{00000000-0005-0000-0000-00008E050000}"/>
    <cellStyle name="Total 10 2" xfId="1416" xr:uid="{00000000-0005-0000-0000-00008F050000}"/>
    <cellStyle name="Total 11" xfId="1417" xr:uid="{00000000-0005-0000-0000-000090050000}"/>
    <cellStyle name="Total 11 2" xfId="1418" xr:uid="{00000000-0005-0000-0000-000091050000}"/>
    <cellStyle name="Total 12" xfId="1419" xr:uid="{00000000-0005-0000-0000-000092050000}"/>
    <cellStyle name="Total 12 2" xfId="1420" xr:uid="{00000000-0005-0000-0000-000093050000}"/>
    <cellStyle name="Total 13" xfId="1421" xr:uid="{00000000-0005-0000-0000-000094050000}"/>
    <cellStyle name="Total 13 2" xfId="1422" xr:uid="{00000000-0005-0000-0000-000095050000}"/>
    <cellStyle name="Total 14" xfId="1423" xr:uid="{00000000-0005-0000-0000-000096050000}"/>
    <cellStyle name="Total 14 2" xfId="1424" xr:uid="{00000000-0005-0000-0000-000097050000}"/>
    <cellStyle name="Total 15" xfId="1425" xr:uid="{00000000-0005-0000-0000-000098050000}"/>
    <cellStyle name="Total 15 2" xfId="1426" xr:uid="{00000000-0005-0000-0000-000099050000}"/>
    <cellStyle name="Total 16" xfId="1427" xr:uid="{00000000-0005-0000-0000-00009A050000}"/>
    <cellStyle name="Total 2" xfId="1428" xr:uid="{00000000-0005-0000-0000-00009B050000}"/>
    <cellStyle name="Total 2 2" xfId="1429" xr:uid="{00000000-0005-0000-0000-00009C050000}"/>
    <cellStyle name="Total 3" xfId="1430" xr:uid="{00000000-0005-0000-0000-00009D050000}"/>
    <cellStyle name="Total 3 2" xfId="1431" xr:uid="{00000000-0005-0000-0000-00009E050000}"/>
    <cellStyle name="Total 4" xfId="1432" xr:uid="{00000000-0005-0000-0000-00009F050000}"/>
    <cellStyle name="Total 4 2" xfId="1433" xr:uid="{00000000-0005-0000-0000-0000A0050000}"/>
    <cellStyle name="Total 5" xfId="1434" xr:uid="{00000000-0005-0000-0000-0000A1050000}"/>
    <cellStyle name="Total 5 2" xfId="1435" xr:uid="{00000000-0005-0000-0000-0000A2050000}"/>
    <cellStyle name="Total 6" xfId="1436" xr:uid="{00000000-0005-0000-0000-0000A3050000}"/>
    <cellStyle name="Total 6 2" xfId="1437" xr:uid="{00000000-0005-0000-0000-0000A4050000}"/>
    <cellStyle name="Total 7" xfId="1438" xr:uid="{00000000-0005-0000-0000-0000A5050000}"/>
    <cellStyle name="Total 7 2" xfId="1439" xr:uid="{00000000-0005-0000-0000-0000A6050000}"/>
    <cellStyle name="Total 8" xfId="1440" xr:uid="{00000000-0005-0000-0000-0000A7050000}"/>
    <cellStyle name="Total 8 2" xfId="1441" xr:uid="{00000000-0005-0000-0000-0000A8050000}"/>
    <cellStyle name="Total 9" xfId="1442" xr:uid="{00000000-0005-0000-0000-0000A9050000}"/>
    <cellStyle name="Total 9 2" xfId="1443" xr:uid="{00000000-0005-0000-0000-0000AA050000}"/>
    <cellStyle name="Warning Text 10" xfId="1444" xr:uid="{00000000-0005-0000-0000-0000AB050000}"/>
    <cellStyle name="Warning Text 11" xfId="1445" xr:uid="{00000000-0005-0000-0000-0000AC050000}"/>
    <cellStyle name="Warning Text 12" xfId="1446" xr:uid="{00000000-0005-0000-0000-0000AD050000}"/>
    <cellStyle name="Warning Text 13" xfId="1447" xr:uid="{00000000-0005-0000-0000-0000AE050000}"/>
    <cellStyle name="Warning Text 14" xfId="1448" xr:uid="{00000000-0005-0000-0000-0000AF050000}"/>
    <cellStyle name="Warning Text 15" xfId="1449" xr:uid="{00000000-0005-0000-0000-0000B0050000}"/>
    <cellStyle name="Warning Text 16" xfId="1450" xr:uid="{00000000-0005-0000-0000-0000B1050000}"/>
    <cellStyle name="Warning Text 2" xfId="1451" xr:uid="{00000000-0005-0000-0000-0000B2050000}"/>
    <cellStyle name="Warning Text 3" xfId="1452" xr:uid="{00000000-0005-0000-0000-0000B3050000}"/>
    <cellStyle name="Warning Text 4" xfId="1453" xr:uid="{00000000-0005-0000-0000-0000B4050000}"/>
    <cellStyle name="Warning Text 5" xfId="1454" xr:uid="{00000000-0005-0000-0000-0000B5050000}"/>
    <cellStyle name="Warning Text 6" xfId="1455" xr:uid="{00000000-0005-0000-0000-0000B6050000}"/>
    <cellStyle name="Warning Text 7" xfId="1456" xr:uid="{00000000-0005-0000-0000-0000B7050000}"/>
    <cellStyle name="Warning Text 8" xfId="1457" xr:uid="{00000000-0005-0000-0000-0000B8050000}"/>
    <cellStyle name="Warning Text 9" xfId="1458" xr:uid="{00000000-0005-0000-0000-0000B90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vs.vm.gov.lv/Documents%20and%20Settings/SilvijaJ/Local%20Settings/Temporary%20Internet%20Files/Content.IE5/F51GHD5U/KristineS/My%20Documents/Bud&#382;ets%202012/Budzeta%20forma%2014_05%2001%202012%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80"/>
  <sheetViews>
    <sheetView tabSelected="1" view="pageBreakPreview" topLeftCell="A171" zoomScaleNormal="10" zoomScaleSheetLayoutView="100" workbookViewId="0">
      <pane xSplit="1" topLeftCell="B1" activePane="topRight" state="frozen"/>
      <selection activeCell="A35" sqref="A35"/>
      <selection pane="topRight" activeCell="L36" sqref="L36"/>
    </sheetView>
  </sheetViews>
  <sheetFormatPr defaultColWidth="9.140625" defaultRowHeight="46.5" customHeight="1" outlineLevelCol="1" x14ac:dyDescent="0.2"/>
  <cols>
    <col min="1" max="1" width="7.85546875" style="1" bestFit="1" customWidth="1"/>
    <col min="2" max="2" width="49.42578125" style="1" customWidth="1"/>
    <col min="3" max="3" width="16.7109375" style="1" customWidth="1"/>
    <col min="4" max="4" width="18.5703125" style="4" customWidth="1"/>
    <col min="5" max="5" width="19.42578125" style="4" customWidth="1"/>
    <col min="6" max="6" width="19.85546875" style="4" customWidth="1" outlineLevel="1"/>
    <col min="7" max="8" width="24.42578125" style="4" customWidth="1" outlineLevel="1"/>
    <col min="9" max="9" width="78.140625" style="4" customWidth="1" outlineLevel="1"/>
    <col min="10" max="10" width="14.42578125" style="4" customWidth="1"/>
    <col min="11" max="11" width="15.140625" style="4" customWidth="1" outlineLevel="1"/>
    <col min="12" max="13" width="24.42578125" style="4" customWidth="1" outlineLevel="1"/>
    <col min="14" max="14" width="78.140625" style="4" customWidth="1" outlineLevel="1"/>
    <col min="15" max="15" width="19.85546875" style="4" customWidth="1"/>
    <col min="16" max="16" width="19.85546875" style="4" customWidth="1" outlineLevel="1"/>
    <col min="17" max="18" width="24.42578125" style="4" customWidth="1" outlineLevel="1"/>
    <col min="19" max="19" width="78.140625" style="4" customWidth="1" outlineLevel="1"/>
    <col min="20" max="20" width="19.85546875" style="4" customWidth="1"/>
    <col min="21" max="21" width="19.85546875" style="4" customWidth="1" outlineLevel="1"/>
    <col min="22" max="23" width="24.42578125" style="4" customWidth="1" outlineLevel="1"/>
    <col min="24" max="24" width="78.140625" style="4" customWidth="1" outlineLevel="1"/>
    <col min="25" max="16384" width="9.140625" style="1"/>
  </cols>
  <sheetData>
    <row r="1" spans="1:24" ht="88.5" customHeight="1" x14ac:dyDescent="0.2">
      <c r="A1" s="33" t="s">
        <v>0</v>
      </c>
      <c r="B1" s="24" t="s">
        <v>1</v>
      </c>
      <c r="C1" s="24" t="s">
        <v>2</v>
      </c>
      <c r="D1" s="24" t="s">
        <v>3</v>
      </c>
      <c r="E1" s="24" t="s">
        <v>4</v>
      </c>
      <c r="F1" s="24" t="s">
        <v>5</v>
      </c>
      <c r="G1" s="25" t="s">
        <v>6</v>
      </c>
      <c r="H1" s="26" t="s">
        <v>7</v>
      </c>
      <c r="I1" s="24" t="s">
        <v>8</v>
      </c>
      <c r="J1" s="24" t="s">
        <v>9</v>
      </c>
      <c r="K1" s="24" t="s">
        <v>10</v>
      </c>
      <c r="L1" s="25" t="s">
        <v>6</v>
      </c>
      <c r="M1" s="26" t="s">
        <v>7</v>
      </c>
      <c r="N1" s="24" t="s">
        <v>8</v>
      </c>
      <c r="O1" s="24" t="s">
        <v>11</v>
      </c>
      <c r="P1" s="24" t="s">
        <v>12</v>
      </c>
      <c r="Q1" s="25" t="s">
        <v>6</v>
      </c>
      <c r="R1" s="26" t="s">
        <v>7</v>
      </c>
      <c r="S1" s="24" t="s">
        <v>8</v>
      </c>
      <c r="T1" s="24" t="s">
        <v>13</v>
      </c>
      <c r="U1" s="24" t="s">
        <v>14</v>
      </c>
      <c r="V1" s="25" t="s">
        <v>6</v>
      </c>
      <c r="W1" s="26" t="s">
        <v>7</v>
      </c>
      <c r="X1" s="24" t="s">
        <v>8</v>
      </c>
    </row>
    <row r="2" spans="1:24" ht="46.5" customHeight="1" x14ac:dyDescent="0.2">
      <c r="A2" s="33">
        <v>1</v>
      </c>
      <c r="B2" s="24">
        <v>2</v>
      </c>
      <c r="C2" s="33">
        <v>3</v>
      </c>
      <c r="D2" s="24">
        <v>4</v>
      </c>
      <c r="E2" s="33">
        <v>5</v>
      </c>
      <c r="F2" s="24">
        <v>6</v>
      </c>
      <c r="G2" s="33">
        <v>7</v>
      </c>
      <c r="H2" s="24">
        <v>8</v>
      </c>
      <c r="I2" s="33">
        <v>9</v>
      </c>
      <c r="J2" s="24">
        <v>10</v>
      </c>
      <c r="K2" s="33">
        <v>6</v>
      </c>
      <c r="L2" s="24">
        <v>12</v>
      </c>
      <c r="M2" s="33">
        <v>13</v>
      </c>
      <c r="N2" s="33">
        <v>14</v>
      </c>
      <c r="O2" s="33">
        <v>15</v>
      </c>
      <c r="P2" s="24">
        <v>16</v>
      </c>
      <c r="Q2" s="33">
        <v>17</v>
      </c>
      <c r="R2" s="24">
        <v>18</v>
      </c>
      <c r="S2" s="33">
        <v>19</v>
      </c>
      <c r="T2" s="24">
        <v>20</v>
      </c>
      <c r="U2" s="33">
        <v>21</v>
      </c>
      <c r="V2" s="24">
        <v>22</v>
      </c>
      <c r="W2" s="33">
        <v>23</v>
      </c>
      <c r="X2" s="33">
        <v>19</v>
      </c>
    </row>
    <row r="3" spans="1:24" ht="46.5" customHeight="1" x14ac:dyDescent="0.2">
      <c r="A3" s="273" t="s">
        <v>15</v>
      </c>
      <c r="B3" s="274" t="s">
        <v>16</v>
      </c>
      <c r="C3" s="275">
        <v>30185444.800000001</v>
      </c>
      <c r="D3" s="310">
        <v>30116793.52</v>
      </c>
      <c r="E3" s="310">
        <v>7781621.8300000001</v>
      </c>
      <c r="F3" s="275">
        <f>F4+F19+F22+F27+F28+F29+F30+F31</f>
        <v>0</v>
      </c>
      <c r="G3" s="276">
        <f>F3-E3</f>
        <v>-7781621.8300000001</v>
      </c>
      <c r="H3" s="277">
        <f>IFERROR(G3/ABS(E3), "-")</f>
        <v>-1</v>
      </c>
      <c r="I3" s="278"/>
      <c r="J3" s="310">
        <v>15234470.189999999</v>
      </c>
      <c r="K3" s="275">
        <f>K4+K19+K22+K27+K28+K29+K30+K31</f>
        <v>0</v>
      </c>
      <c r="L3" s="276">
        <f>K3-J3</f>
        <v>-15234470.189999999</v>
      </c>
      <c r="M3" s="277">
        <f>IFERROR(L3/ABS(J3), "-")</f>
        <v>-1</v>
      </c>
      <c r="N3" s="278"/>
      <c r="O3" s="310">
        <v>22680490.259999998</v>
      </c>
      <c r="P3" s="275">
        <f>P4+P19+P22+P27+P28+P29+P30+P31</f>
        <v>0</v>
      </c>
      <c r="Q3" s="276">
        <f>P3-O3</f>
        <v>-22680490.259999998</v>
      </c>
      <c r="R3" s="277">
        <f>IFERROR(Q3/ABS(O3), "-")</f>
        <v>-1</v>
      </c>
      <c r="S3" s="278"/>
      <c r="T3" s="275">
        <v>30116793.52</v>
      </c>
      <c r="U3" s="275">
        <f>U4+U19+U22+U27+U28+U29+U30+U31</f>
        <v>0</v>
      </c>
      <c r="V3" s="276">
        <f>U3-T3</f>
        <v>-30116793.52</v>
      </c>
      <c r="W3" s="277">
        <f>IFERROR(V3/ABS(T3), "-")</f>
        <v>-1</v>
      </c>
      <c r="X3" s="278"/>
    </row>
    <row r="4" spans="1:24" s="2" customFormat="1" ht="46.5" customHeight="1" x14ac:dyDescent="0.2">
      <c r="A4" s="266" t="s">
        <v>17</v>
      </c>
      <c r="B4" s="255" t="s">
        <v>18</v>
      </c>
      <c r="C4" s="246">
        <v>27177977.59</v>
      </c>
      <c r="D4" s="311">
        <v>26553013.999999996</v>
      </c>
      <c r="E4" s="311">
        <v>6849322.5599999987</v>
      </c>
      <c r="F4" s="246">
        <f>F5+F10+F13+F16</f>
        <v>0</v>
      </c>
      <c r="G4" s="247">
        <f t="shared" ref="G4:G67" si="0">F4-E4</f>
        <v>-6849322.5599999987</v>
      </c>
      <c r="H4" s="248">
        <f t="shared" ref="H4:H67" si="1">IFERROR(G4/ABS(E4), "-")</f>
        <v>-1</v>
      </c>
      <c r="I4" s="249"/>
      <c r="J4" s="311">
        <v>13423338.039999999</v>
      </c>
      <c r="K4" s="246">
        <f>K5+K10+K13+K16</f>
        <v>0</v>
      </c>
      <c r="L4" s="247">
        <f>K4-J4</f>
        <v>-13423338.039999999</v>
      </c>
      <c r="M4" s="248">
        <f t="shared" ref="M4:M69" si="2">IFERROR(L4/ABS(J4), "-")</f>
        <v>-1</v>
      </c>
      <c r="N4" s="249"/>
      <c r="O4" s="311">
        <v>19990682.879999999</v>
      </c>
      <c r="P4" s="246">
        <f>P5+P10+P13+P16</f>
        <v>0</v>
      </c>
      <c r="Q4" s="247">
        <f t="shared" ref="Q4:Q69" si="3">P4-O4</f>
        <v>-19990682.879999999</v>
      </c>
      <c r="R4" s="248">
        <f t="shared" ref="R4:R69" si="4">IFERROR(Q4/ABS(O4), "-")</f>
        <v>-1</v>
      </c>
      <c r="S4" s="249"/>
      <c r="T4" s="246">
        <v>26553013.999999996</v>
      </c>
      <c r="U4" s="246">
        <f>U5+U10+U13+U16</f>
        <v>0</v>
      </c>
      <c r="V4" s="247">
        <f t="shared" ref="V4:V69" si="5">U4-T4</f>
        <v>-26553013.999999996</v>
      </c>
      <c r="W4" s="248">
        <f t="shared" ref="W4:W69" si="6">IFERROR(V4/ABS(T4), "-")</f>
        <v>-1</v>
      </c>
      <c r="X4" s="249"/>
    </row>
    <row r="5" spans="1:24" s="2" customFormat="1" ht="46.5" customHeight="1" x14ac:dyDescent="0.2">
      <c r="A5" s="150" t="s">
        <v>19</v>
      </c>
      <c r="B5" s="151" t="s">
        <v>20</v>
      </c>
      <c r="C5" s="147">
        <v>25683523.23</v>
      </c>
      <c r="D5" s="312">
        <v>24940314.579999998</v>
      </c>
      <c r="E5" s="312">
        <v>6451623.5800000001</v>
      </c>
      <c r="F5" s="147">
        <f>SUM(F6:F9)</f>
        <v>0</v>
      </c>
      <c r="G5" s="148">
        <f t="shared" si="0"/>
        <v>-6451623.5800000001</v>
      </c>
      <c r="H5" s="149">
        <f t="shared" si="1"/>
        <v>-1</v>
      </c>
      <c r="I5" s="748"/>
      <c r="J5" s="312">
        <v>12614520.58</v>
      </c>
      <c r="K5" s="147">
        <f>SUM(K6:K9)</f>
        <v>0</v>
      </c>
      <c r="L5" s="148">
        <f t="shared" ref="L5:L69" si="7">K5-J5</f>
        <v>-12614520.58</v>
      </c>
      <c r="M5" s="149">
        <f t="shared" si="2"/>
        <v>-1</v>
      </c>
      <c r="N5" s="748"/>
      <c r="O5" s="312">
        <v>18777417.579999998</v>
      </c>
      <c r="P5" s="147">
        <f>SUM(P6:P9)</f>
        <v>0</v>
      </c>
      <c r="Q5" s="148">
        <f t="shared" si="3"/>
        <v>-18777417.579999998</v>
      </c>
      <c r="R5" s="149">
        <f t="shared" si="4"/>
        <v>-1</v>
      </c>
      <c r="S5" s="731"/>
      <c r="T5" s="147">
        <v>24940314.579999998</v>
      </c>
      <c r="U5" s="147">
        <f>SUM(U6:U9)</f>
        <v>0</v>
      </c>
      <c r="V5" s="148">
        <f t="shared" si="5"/>
        <v>-24940314.579999998</v>
      </c>
      <c r="W5" s="149">
        <f t="shared" si="6"/>
        <v>-1</v>
      </c>
      <c r="X5" s="731"/>
    </row>
    <row r="6" spans="1:24" ht="46.5" customHeight="1" x14ac:dyDescent="0.2">
      <c r="A6" s="252" t="s">
        <v>21</v>
      </c>
      <c r="B6" s="58" t="s">
        <v>22</v>
      </c>
      <c r="C6" s="114">
        <v>23934851.960000005</v>
      </c>
      <c r="D6" s="313">
        <v>23276549.59</v>
      </c>
      <c r="E6" s="313">
        <v>6032225.5899999999</v>
      </c>
      <c r="F6" s="114"/>
      <c r="G6" s="115">
        <f>F6-E6</f>
        <v>-6032225.5899999999</v>
      </c>
      <c r="H6" s="116">
        <f>IFERROR(G6/ABS(E6), "-")</f>
        <v>-1</v>
      </c>
      <c r="I6" s="749"/>
      <c r="J6" s="313">
        <v>11780333.59</v>
      </c>
      <c r="K6" s="114"/>
      <c r="L6" s="115">
        <f t="shared" si="7"/>
        <v>-11780333.59</v>
      </c>
      <c r="M6" s="116">
        <f t="shared" si="2"/>
        <v>-1</v>
      </c>
      <c r="N6" s="749"/>
      <c r="O6" s="313">
        <v>17528441.59</v>
      </c>
      <c r="P6" s="114"/>
      <c r="Q6" s="115">
        <f t="shared" si="3"/>
        <v>-17528441.59</v>
      </c>
      <c r="R6" s="116">
        <f t="shared" si="4"/>
        <v>-1</v>
      </c>
      <c r="S6" s="732"/>
      <c r="T6" s="114">
        <v>23276549.59</v>
      </c>
      <c r="U6" s="114"/>
      <c r="V6" s="115">
        <f t="shared" si="5"/>
        <v>-23276549.59</v>
      </c>
      <c r="W6" s="116">
        <f t="shared" si="6"/>
        <v>-1</v>
      </c>
      <c r="X6" s="732"/>
    </row>
    <row r="7" spans="1:24" ht="46.5" customHeight="1" x14ac:dyDescent="0.2">
      <c r="A7" s="252" t="s">
        <v>23</v>
      </c>
      <c r="B7" s="58" t="s">
        <v>24</v>
      </c>
      <c r="C7" s="114">
        <v>129546</v>
      </c>
      <c r="D7" s="313">
        <v>156247</v>
      </c>
      <c r="E7" s="313">
        <v>40426</v>
      </c>
      <c r="F7" s="114"/>
      <c r="G7" s="115">
        <f t="shared" si="0"/>
        <v>-40426</v>
      </c>
      <c r="H7" s="116">
        <f t="shared" si="1"/>
        <v>-1</v>
      </c>
      <c r="I7" s="749"/>
      <c r="J7" s="313">
        <v>79033</v>
      </c>
      <c r="K7" s="114"/>
      <c r="L7" s="115">
        <f t="shared" si="7"/>
        <v>-79033</v>
      </c>
      <c r="M7" s="116">
        <f t="shared" si="2"/>
        <v>-1</v>
      </c>
      <c r="N7" s="749"/>
      <c r="O7" s="313">
        <v>117640</v>
      </c>
      <c r="P7" s="114"/>
      <c r="Q7" s="115">
        <f t="shared" si="3"/>
        <v>-117640</v>
      </c>
      <c r="R7" s="116">
        <f t="shared" si="4"/>
        <v>-1</v>
      </c>
      <c r="S7" s="732"/>
      <c r="T7" s="114">
        <v>156247</v>
      </c>
      <c r="U7" s="114"/>
      <c r="V7" s="115">
        <f t="shared" si="5"/>
        <v>-156247</v>
      </c>
      <c r="W7" s="116">
        <f t="shared" si="6"/>
        <v>-1</v>
      </c>
      <c r="X7" s="732"/>
    </row>
    <row r="8" spans="1:24" ht="46.5" customHeight="1" x14ac:dyDescent="0.2">
      <c r="A8" s="252" t="s">
        <v>25</v>
      </c>
      <c r="B8" s="58" t="s">
        <v>26</v>
      </c>
      <c r="C8" s="114">
        <v>1574611.2700000003</v>
      </c>
      <c r="D8" s="313">
        <v>1467543.99</v>
      </c>
      <c r="E8" s="313">
        <v>369057.99</v>
      </c>
      <c r="F8" s="114"/>
      <c r="G8" s="115">
        <f t="shared" si="0"/>
        <v>-369057.99</v>
      </c>
      <c r="H8" s="116">
        <f t="shared" si="1"/>
        <v>-1</v>
      </c>
      <c r="I8" s="749"/>
      <c r="J8" s="313">
        <v>735219.99</v>
      </c>
      <c r="K8" s="114"/>
      <c r="L8" s="115">
        <f t="shared" si="7"/>
        <v>-735219.99</v>
      </c>
      <c r="M8" s="116">
        <f t="shared" si="2"/>
        <v>-1</v>
      </c>
      <c r="N8" s="749"/>
      <c r="O8" s="313">
        <v>1101381.99</v>
      </c>
      <c r="P8" s="114"/>
      <c r="Q8" s="115">
        <f t="shared" si="3"/>
        <v>-1101381.99</v>
      </c>
      <c r="R8" s="116">
        <f t="shared" si="4"/>
        <v>-1</v>
      </c>
      <c r="S8" s="732"/>
      <c r="T8" s="114">
        <v>1467543.99</v>
      </c>
      <c r="U8" s="114"/>
      <c r="V8" s="115">
        <f t="shared" si="5"/>
        <v>-1467543.99</v>
      </c>
      <c r="W8" s="116">
        <f t="shared" si="6"/>
        <v>-1</v>
      </c>
      <c r="X8" s="732"/>
    </row>
    <row r="9" spans="1:24" ht="46.5" customHeight="1" x14ac:dyDescent="0.2">
      <c r="A9" s="252" t="s">
        <v>27</v>
      </c>
      <c r="B9" s="58" t="s">
        <v>28</v>
      </c>
      <c r="C9" s="114">
        <v>44514</v>
      </c>
      <c r="D9" s="313">
        <v>39974</v>
      </c>
      <c r="E9" s="313">
        <v>9914</v>
      </c>
      <c r="F9" s="114"/>
      <c r="G9" s="115">
        <f t="shared" si="0"/>
        <v>-9914</v>
      </c>
      <c r="H9" s="116">
        <f t="shared" si="1"/>
        <v>-1</v>
      </c>
      <c r="I9" s="750"/>
      <c r="J9" s="313">
        <v>19934</v>
      </c>
      <c r="K9" s="114"/>
      <c r="L9" s="115">
        <f t="shared" si="7"/>
        <v>-19934</v>
      </c>
      <c r="M9" s="116">
        <f t="shared" si="2"/>
        <v>-1</v>
      </c>
      <c r="N9" s="750"/>
      <c r="O9" s="313">
        <v>29954</v>
      </c>
      <c r="P9" s="114"/>
      <c r="Q9" s="115">
        <f t="shared" si="3"/>
        <v>-29954</v>
      </c>
      <c r="R9" s="116">
        <f t="shared" si="4"/>
        <v>-1</v>
      </c>
      <c r="S9" s="733"/>
      <c r="T9" s="114">
        <v>39974</v>
      </c>
      <c r="U9" s="114"/>
      <c r="V9" s="115">
        <f t="shared" si="5"/>
        <v>-39974</v>
      </c>
      <c r="W9" s="116">
        <f t="shared" si="6"/>
        <v>-1</v>
      </c>
      <c r="X9" s="733"/>
    </row>
    <row r="10" spans="1:24" ht="46.5" customHeight="1" x14ac:dyDescent="0.2">
      <c r="A10" s="150" t="s">
        <v>29</v>
      </c>
      <c r="B10" s="151" t="s">
        <v>30</v>
      </c>
      <c r="C10" s="147">
        <v>0</v>
      </c>
      <c r="D10" s="312">
        <v>0</v>
      </c>
      <c r="E10" s="312">
        <v>0</v>
      </c>
      <c r="F10" s="147">
        <f t="shared" ref="F10" si="8">SUM(F11:F12)</f>
        <v>0</v>
      </c>
      <c r="G10" s="148">
        <f t="shared" si="0"/>
        <v>0</v>
      </c>
      <c r="H10" s="149" t="str">
        <f t="shared" si="1"/>
        <v>-</v>
      </c>
      <c r="I10" s="731"/>
      <c r="J10" s="312">
        <v>0</v>
      </c>
      <c r="K10" s="147">
        <f t="shared" ref="K10" si="9">SUM(K11:K12)</f>
        <v>0</v>
      </c>
      <c r="L10" s="148">
        <f t="shared" si="7"/>
        <v>0</v>
      </c>
      <c r="M10" s="149" t="str">
        <f t="shared" si="2"/>
        <v>-</v>
      </c>
      <c r="N10" s="731"/>
      <c r="O10" s="312">
        <v>0</v>
      </c>
      <c r="P10" s="147">
        <f t="shared" ref="P10" si="10">SUM(P11:P12)</f>
        <v>0</v>
      </c>
      <c r="Q10" s="148">
        <f t="shared" si="3"/>
        <v>0</v>
      </c>
      <c r="R10" s="149" t="str">
        <f t="shared" si="4"/>
        <v>-</v>
      </c>
      <c r="S10" s="731"/>
      <c r="T10" s="147">
        <v>0</v>
      </c>
      <c r="U10" s="147">
        <f t="shared" ref="U10" si="11">SUM(U11:U12)</f>
        <v>0</v>
      </c>
      <c r="V10" s="148">
        <f t="shared" si="5"/>
        <v>0</v>
      </c>
      <c r="W10" s="149" t="str">
        <f t="shared" si="6"/>
        <v>-</v>
      </c>
      <c r="X10" s="731"/>
    </row>
    <row r="11" spans="1:24" ht="46.5" customHeight="1" x14ac:dyDescent="0.2">
      <c r="A11" s="252" t="s">
        <v>31</v>
      </c>
      <c r="B11" s="58" t="s">
        <v>32</v>
      </c>
      <c r="C11" s="114">
        <v>0</v>
      </c>
      <c r="D11" s="313">
        <v>0</v>
      </c>
      <c r="E11" s="313">
        <v>0</v>
      </c>
      <c r="F11" s="114"/>
      <c r="G11" s="115">
        <f t="shared" si="0"/>
        <v>0</v>
      </c>
      <c r="H11" s="116" t="str">
        <f t="shared" si="1"/>
        <v>-</v>
      </c>
      <c r="I11" s="732"/>
      <c r="J11" s="313">
        <v>0</v>
      </c>
      <c r="K11" s="114"/>
      <c r="L11" s="115">
        <f t="shared" si="7"/>
        <v>0</v>
      </c>
      <c r="M11" s="116" t="str">
        <f t="shared" si="2"/>
        <v>-</v>
      </c>
      <c r="N11" s="732"/>
      <c r="O11" s="313">
        <v>0</v>
      </c>
      <c r="P11" s="114"/>
      <c r="Q11" s="115">
        <f t="shared" si="3"/>
        <v>0</v>
      </c>
      <c r="R11" s="116" t="str">
        <f t="shared" si="4"/>
        <v>-</v>
      </c>
      <c r="S11" s="732"/>
      <c r="T11" s="114">
        <v>0</v>
      </c>
      <c r="U11" s="114"/>
      <c r="V11" s="115">
        <f t="shared" si="5"/>
        <v>0</v>
      </c>
      <c r="W11" s="116" t="str">
        <f t="shared" si="6"/>
        <v>-</v>
      </c>
      <c r="X11" s="732"/>
    </row>
    <row r="12" spans="1:24" ht="46.5" customHeight="1" x14ac:dyDescent="0.2">
      <c r="A12" s="252" t="s">
        <v>33</v>
      </c>
      <c r="B12" s="58" t="s">
        <v>34</v>
      </c>
      <c r="C12" s="114">
        <v>0</v>
      </c>
      <c r="D12" s="313">
        <v>0</v>
      </c>
      <c r="E12" s="313">
        <v>0</v>
      </c>
      <c r="F12" s="114"/>
      <c r="G12" s="115">
        <f t="shared" si="0"/>
        <v>0</v>
      </c>
      <c r="H12" s="116" t="str">
        <f t="shared" si="1"/>
        <v>-</v>
      </c>
      <c r="I12" s="733"/>
      <c r="J12" s="313">
        <v>0</v>
      </c>
      <c r="K12" s="114"/>
      <c r="L12" s="115">
        <f t="shared" si="7"/>
        <v>0</v>
      </c>
      <c r="M12" s="116" t="str">
        <f t="shared" si="2"/>
        <v>-</v>
      </c>
      <c r="N12" s="733"/>
      <c r="O12" s="313">
        <v>0</v>
      </c>
      <c r="P12" s="114"/>
      <c r="Q12" s="115">
        <f t="shared" si="3"/>
        <v>0</v>
      </c>
      <c r="R12" s="116" t="str">
        <f t="shared" si="4"/>
        <v>-</v>
      </c>
      <c r="S12" s="733"/>
      <c r="T12" s="114">
        <v>0</v>
      </c>
      <c r="U12" s="114"/>
      <c r="V12" s="115">
        <f t="shared" si="5"/>
        <v>0</v>
      </c>
      <c r="W12" s="116" t="str">
        <f t="shared" si="6"/>
        <v>-</v>
      </c>
      <c r="X12" s="733"/>
    </row>
    <row r="13" spans="1:24" ht="46.5" customHeight="1" x14ac:dyDescent="0.2">
      <c r="A13" s="150" t="s">
        <v>35</v>
      </c>
      <c r="B13" s="151" t="s">
        <v>36</v>
      </c>
      <c r="C13" s="147">
        <v>1391813.41</v>
      </c>
      <c r="D13" s="312">
        <v>1510149.1900000002</v>
      </c>
      <c r="E13" s="312">
        <v>375885.67000000004</v>
      </c>
      <c r="F13" s="147">
        <f>SUM(F14:F15)</f>
        <v>0</v>
      </c>
      <c r="G13" s="148">
        <f t="shared" si="0"/>
        <v>-375885.67000000004</v>
      </c>
      <c r="H13" s="149">
        <f t="shared" si="1"/>
        <v>-1</v>
      </c>
      <c r="I13" s="731"/>
      <c r="J13" s="312">
        <v>753973.51000000013</v>
      </c>
      <c r="K13" s="147">
        <f>SUM(K14:K15)</f>
        <v>0</v>
      </c>
      <c r="L13" s="148">
        <f t="shared" si="7"/>
        <v>-753973.51000000013</v>
      </c>
      <c r="M13" s="149">
        <f t="shared" si="2"/>
        <v>-1</v>
      </c>
      <c r="N13" s="731"/>
      <c r="O13" s="312">
        <v>1132061.3500000001</v>
      </c>
      <c r="P13" s="147">
        <f>SUM(P14:P15)</f>
        <v>0</v>
      </c>
      <c r="Q13" s="148">
        <f t="shared" si="3"/>
        <v>-1132061.3500000001</v>
      </c>
      <c r="R13" s="149">
        <f t="shared" si="4"/>
        <v>-1</v>
      </c>
      <c r="S13" s="731"/>
      <c r="T13" s="147">
        <v>1510149.1900000002</v>
      </c>
      <c r="U13" s="147">
        <f>SUM(U14:U15)</f>
        <v>0</v>
      </c>
      <c r="V13" s="148">
        <f t="shared" si="5"/>
        <v>-1510149.1900000002</v>
      </c>
      <c r="W13" s="149">
        <f t="shared" si="6"/>
        <v>-1</v>
      </c>
      <c r="X13" s="731"/>
    </row>
    <row r="14" spans="1:24" ht="46.5" customHeight="1" x14ac:dyDescent="0.2">
      <c r="A14" s="252" t="s">
        <v>37</v>
      </c>
      <c r="B14" s="58" t="s">
        <v>38</v>
      </c>
      <c r="C14" s="114">
        <v>1391813.41</v>
      </c>
      <c r="D14" s="313">
        <v>1510149.1900000002</v>
      </c>
      <c r="E14" s="313">
        <v>375885.67000000004</v>
      </c>
      <c r="F14" s="114"/>
      <c r="G14" s="115">
        <f t="shared" si="0"/>
        <v>-375885.67000000004</v>
      </c>
      <c r="H14" s="116">
        <f t="shared" si="1"/>
        <v>-1</v>
      </c>
      <c r="I14" s="732"/>
      <c r="J14" s="313">
        <v>753973.51000000013</v>
      </c>
      <c r="K14" s="114"/>
      <c r="L14" s="115">
        <f t="shared" si="7"/>
        <v>-753973.51000000013</v>
      </c>
      <c r="M14" s="116">
        <f t="shared" si="2"/>
        <v>-1</v>
      </c>
      <c r="N14" s="732"/>
      <c r="O14" s="313">
        <v>1132061.3500000001</v>
      </c>
      <c r="P14" s="114"/>
      <c r="Q14" s="115">
        <f t="shared" si="3"/>
        <v>-1132061.3500000001</v>
      </c>
      <c r="R14" s="116">
        <f t="shared" si="4"/>
        <v>-1</v>
      </c>
      <c r="S14" s="732"/>
      <c r="T14" s="114">
        <v>1510149.1900000002</v>
      </c>
      <c r="U14" s="114"/>
      <c r="V14" s="115">
        <f t="shared" si="5"/>
        <v>-1510149.1900000002</v>
      </c>
      <c r="W14" s="116">
        <f t="shared" si="6"/>
        <v>-1</v>
      </c>
      <c r="X14" s="732"/>
    </row>
    <row r="15" spans="1:24" ht="46.5" customHeight="1" x14ac:dyDescent="0.2">
      <c r="A15" s="252" t="s">
        <v>39</v>
      </c>
      <c r="B15" s="58" t="s">
        <v>40</v>
      </c>
      <c r="C15" s="114">
        <v>0</v>
      </c>
      <c r="D15" s="313">
        <v>0</v>
      </c>
      <c r="E15" s="313">
        <v>0</v>
      </c>
      <c r="F15" s="114"/>
      <c r="G15" s="115">
        <f t="shared" si="0"/>
        <v>0</v>
      </c>
      <c r="H15" s="116" t="str">
        <f t="shared" si="1"/>
        <v>-</v>
      </c>
      <c r="I15" s="733"/>
      <c r="J15" s="313">
        <v>0</v>
      </c>
      <c r="K15" s="114"/>
      <c r="L15" s="115">
        <f t="shared" si="7"/>
        <v>0</v>
      </c>
      <c r="M15" s="116" t="str">
        <f t="shared" si="2"/>
        <v>-</v>
      </c>
      <c r="N15" s="733"/>
      <c r="O15" s="313">
        <v>0</v>
      </c>
      <c r="P15" s="114"/>
      <c r="Q15" s="115">
        <f t="shared" si="3"/>
        <v>0</v>
      </c>
      <c r="R15" s="116" t="str">
        <f t="shared" si="4"/>
        <v>-</v>
      </c>
      <c r="S15" s="733"/>
      <c r="T15" s="114">
        <v>0</v>
      </c>
      <c r="U15" s="114"/>
      <c r="V15" s="115">
        <f t="shared" si="5"/>
        <v>0</v>
      </c>
      <c r="W15" s="116" t="str">
        <f t="shared" si="6"/>
        <v>-</v>
      </c>
      <c r="X15" s="733"/>
    </row>
    <row r="16" spans="1:24" ht="46.5" customHeight="1" x14ac:dyDescent="0.2">
      <c r="A16" s="150" t="s">
        <v>41</v>
      </c>
      <c r="B16" s="151" t="s">
        <v>42</v>
      </c>
      <c r="C16" s="147">
        <v>102640.94999999998</v>
      </c>
      <c r="D16" s="312">
        <v>102550.22999999998</v>
      </c>
      <c r="E16" s="312">
        <v>21813.31</v>
      </c>
      <c r="F16" s="312">
        <f>F17</f>
        <v>0</v>
      </c>
      <c r="G16" s="148">
        <f t="shared" si="0"/>
        <v>-21813.31</v>
      </c>
      <c r="H16" s="149">
        <f>IFERROR(G16/ABS(E16), "-")</f>
        <v>-1</v>
      </c>
      <c r="I16" s="731"/>
      <c r="J16" s="312">
        <v>54843.95</v>
      </c>
      <c r="K16" s="312">
        <f>K17</f>
        <v>0</v>
      </c>
      <c r="L16" s="148">
        <f t="shared" si="7"/>
        <v>-54843.95</v>
      </c>
      <c r="M16" s="149">
        <f t="shared" si="2"/>
        <v>-1</v>
      </c>
      <c r="N16" s="731"/>
      <c r="O16" s="312">
        <v>81203.949999999983</v>
      </c>
      <c r="P16" s="147">
        <f>P18</f>
        <v>0</v>
      </c>
      <c r="Q16" s="148">
        <f t="shared" si="3"/>
        <v>-81203.949999999983</v>
      </c>
      <c r="R16" s="149">
        <f t="shared" si="4"/>
        <v>-1</v>
      </c>
      <c r="S16" s="731"/>
      <c r="T16" s="147">
        <v>102550.22999999998</v>
      </c>
      <c r="U16" s="147">
        <f>U18</f>
        <v>0</v>
      </c>
      <c r="V16" s="148">
        <f t="shared" si="5"/>
        <v>-102550.22999999998</v>
      </c>
      <c r="W16" s="149">
        <f t="shared" si="6"/>
        <v>-1</v>
      </c>
      <c r="X16" s="731"/>
    </row>
    <row r="17" spans="1:24" ht="46.5" customHeight="1" x14ac:dyDescent="0.2">
      <c r="A17" s="252" t="s">
        <v>43</v>
      </c>
      <c r="B17" s="117" t="s">
        <v>44</v>
      </c>
      <c r="C17" s="114">
        <v>0</v>
      </c>
      <c r="D17" s="313">
        <v>0</v>
      </c>
      <c r="E17" s="313">
        <v>0</v>
      </c>
      <c r="F17" s="114"/>
      <c r="G17" s="115">
        <f t="shared" si="0"/>
        <v>0</v>
      </c>
      <c r="H17" s="116" t="str">
        <f t="shared" si="1"/>
        <v>-</v>
      </c>
      <c r="I17" s="732"/>
      <c r="J17" s="313">
        <v>0</v>
      </c>
      <c r="K17" s="114"/>
      <c r="L17" s="115">
        <f t="shared" si="7"/>
        <v>0</v>
      </c>
      <c r="M17" s="116" t="str">
        <f t="shared" si="2"/>
        <v>-</v>
      </c>
      <c r="N17" s="732"/>
      <c r="O17" s="313">
        <v>0</v>
      </c>
      <c r="P17" s="114"/>
      <c r="Q17" s="115">
        <f t="shared" si="3"/>
        <v>0</v>
      </c>
      <c r="R17" s="116" t="str">
        <f t="shared" si="4"/>
        <v>-</v>
      </c>
      <c r="S17" s="732"/>
      <c r="T17" s="114">
        <v>0</v>
      </c>
      <c r="U17" s="114"/>
      <c r="V17" s="115">
        <f t="shared" si="5"/>
        <v>0</v>
      </c>
      <c r="W17" s="116" t="str">
        <f t="shared" si="6"/>
        <v>-</v>
      </c>
      <c r="X17" s="732"/>
    </row>
    <row r="18" spans="1:24" ht="46.5" customHeight="1" x14ac:dyDescent="0.2">
      <c r="A18" s="252" t="s">
        <v>45</v>
      </c>
      <c r="B18" s="58" t="s">
        <v>46</v>
      </c>
      <c r="C18" s="114">
        <v>102640.94999999998</v>
      </c>
      <c r="D18" s="313">
        <v>102550.22999999998</v>
      </c>
      <c r="E18" s="314">
        <v>21813.31</v>
      </c>
      <c r="F18" s="114"/>
      <c r="G18" s="115">
        <f t="shared" si="0"/>
        <v>-21813.31</v>
      </c>
      <c r="H18" s="116">
        <f t="shared" si="1"/>
        <v>-1</v>
      </c>
      <c r="I18" s="732"/>
      <c r="J18" s="313">
        <v>54843.95</v>
      </c>
      <c r="K18" s="114"/>
      <c r="L18" s="115">
        <f t="shared" si="7"/>
        <v>-54843.95</v>
      </c>
      <c r="M18" s="116">
        <f t="shared" si="2"/>
        <v>-1</v>
      </c>
      <c r="N18" s="732"/>
      <c r="O18" s="314">
        <v>81203.949999999983</v>
      </c>
      <c r="P18" s="114"/>
      <c r="Q18" s="115">
        <f t="shared" si="3"/>
        <v>-81203.949999999983</v>
      </c>
      <c r="R18" s="116">
        <f t="shared" si="4"/>
        <v>-1</v>
      </c>
      <c r="S18" s="732"/>
      <c r="T18" s="118">
        <v>102550.22999999998</v>
      </c>
      <c r="U18" s="114"/>
      <c r="V18" s="115">
        <f t="shared" si="5"/>
        <v>-102550.22999999998</v>
      </c>
      <c r="W18" s="116">
        <f t="shared" si="6"/>
        <v>-1</v>
      </c>
      <c r="X18" s="732"/>
    </row>
    <row r="19" spans="1:24" s="2" customFormat="1" ht="46.5" customHeight="1" x14ac:dyDescent="0.2">
      <c r="A19" s="150" t="s">
        <v>47</v>
      </c>
      <c r="B19" s="151" t="s">
        <v>48</v>
      </c>
      <c r="C19" s="147">
        <v>0</v>
      </c>
      <c r="D19" s="312">
        <v>0</v>
      </c>
      <c r="E19" s="312">
        <v>0</v>
      </c>
      <c r="F19" s="147">
        <f t="shared" ref="F19" si="12">SUM(F20:F21)</f>
        <v>0</v>
      </c>
      <c r="G19" s="148">
        <f t="shared" si="0"/>
        <v>0</v>
      </c>
      <c r="H19" s="149" t="str">
        <f t="shared" si="1"/>
        <v>-</v>
      </c>
      <c r="I19" s="731"/>
      <c r="J19" s="312">
        <v>0</v>
      </c>
      <c r="K19" s="147">
        <f t="shared" ref="K19" si="13">SUM(K20:K21)</f>
        <v>0</v>
      </c>
      <c r="L19" s="148">
        <f t="shared" si="7"/>
        <v>0</v>
      </c>
      <c r="M19" s="149" t="str">
        <f t="shared" si="2"/>
        <v>-</v>
      </c>
      <c r="N19" s="731"/>
      <c r="O19" s="312">
        <v>0</v>
      </c>
      <c r="P19" s="147">
        <f t="shared" ref="P19" si="14">SUM(P20:P21)</f>
        <v>0</v>
      </c>
      <c r="Q19" s="148">
        <f t="shared" si="3"/>
        <v>0</v>
      </c>
      <c r="R19" s="149" t="str">
        <f t="shared" si="4"/>
        <v>-</v>
      </c>
      <c r="S19" s="731"/>
      <c r="T19" s="147">
        <v>0</v>
      </c>
      <c r="U19" s="147">
        <f t="shared" ref="U19" si="15">SUM(U20:U21)</f>
        <v>0</v>
      </c>
      <c r="V19" s="148">
        <f t="shared" si="5"/>
        <v>0</v>
      </c>
      <c r="W19" s="149" t="str">
        <f t="shared" si="6"/>
        <v>-</v>
      </c>
      <c r="X19" s="731"/>
    </row>
    <row r="20" spans="1:24" ht="46.5" customHeight="1" x14ac:dyDescent="0.2">
      <c r="A20" s="252" t="s">
        <v>49</v>
      </c>
      <c r="B20" s="58" t="s">
        <v>50</v>
      </c>
      <c r="C20" s="114">
        <v>0</v>
      </c>
      <c r="D20" s="313">
        <v>0</v>
      </c>
      <c r="E20" s="313">
        <v>0</v>
      </c>
      <c r="F20" s="114"/>
      <c r="G20" s="115">
        <f t="shared" si="0"/>
        <v>0</v>
      </c>
      <c r="H20" s="116" t="str">
        <f t="shared" si="1"/>
        <v>-</v>
      </c>
      <c r="I20" s="732"/>
      <c r="J20" s="313">
        <v>0</v>
      </c>
      <c r="K20" s="114"/>
      <c r="L20" s="115">
        <f t="shared" si="7"/>
        <v>0</v>
      </c>
      <c r="M20" s="116" t="str">
        <f t="shared" si="2"/>
        <v>-</v>
      </c>
      <c r="N20" s="732"/>
      <c r="O20" s="313">
        <v>0</v>
      </c>
      <c r="P20" s="114"/>
      <c r="Q20" s="115">
        <f t="shared" si="3"/>
        <v>0</v>
      </c>
      <c r="R20" s="116" t="str">
        <f t="shared" si="4"/>
        <v>-</v>
      </c>
      <c r="S20" s="732"/>
      <c r="T20" s="114">
        <v>0</v>
      </c>
      <c r="U20" s="114"/>
      <c r="V20" s="115">
        <f t="shared" si="5"/>
        <v>0</v>
      </c>
      <c r="W20" s="116" t="str">
        <f t="shared" si="6"/>
        <v>-</v>
      </c>
      <c r="X20" s="732"/>
    </row>
    <row r="21" spans="1:24" ht="46.5" customHeight="1" x14ac:dyDescent="0.2">
      <c r="A21" s="252" t="s">
        <v>51</v>
      </c>
      <c r="B21" s="58" t="s">
        <v>52</v>
      </c>
      <c r="C21" s="114">
        <v>0</v>
      </c>
      <c r="D21" s="313">
        <v>0</v>
      </c>
      <c r="E21" s="313">
        <v>0</v>
      </c>
      <c r="F21" s="114"/>
      <c r="G21" s="115">
        <f t="shared" si="0"/>
        <v>0</v>
      </c>
      <c r="H21" s="116" t="str">
        <f t="shared" si="1"/>
        <v>-</v>
      </c>
      <c r="I21" s="733"/>
      <c r="J21" s="313">
        <v>0</v>
      </c>
      <c r="K21" s="114"/>
      <c r="L21" s="115">
        <f t="shared" si="7"/>
        <v>0</v>
      </c>
      <c r="M21" s="116" t="str">
        <f t="shared" si="2"/>
        <v>-</v>
      </c>
      <c r="N21" s="733"/>
      <c r="O21" s="313">
        <v>0</v>
      </c>
      <c r="P21" s="114"/>
      <c r="Q21" s="115">
        <f t="shared" si="3"/>
        <v>0</v>
      </c>
      <c r="R21" s="116" t="str">
        <f t="shared" si="4"/>
        <v>-</v>
      </c>
      <c r="S21" s="733"/>
      <c r="T21" s="114">
        <v>0</v>
      </c>
      <c r="U21" s="114"/>
      <c r="V21" s="115">
        <f t="shared" si="5"/>
        <v>0</v>
      </c>
      <c r="W21" s="116" t="str">
        <f t="shared" si="6"/>
        <v>-</v>
      </c>
      <c r="X21" s="733"/>
    </row>
    <row r="22" spans="1:24" s="2" customFormat="1" ht="46.5" customHeight="1" x14ac:dyDescent="0.2">
      <c r="A22" s="150" t="s">
        <v>53</v>
      </c>
      <c r="B22" s="151" t="s">
        <v>54</v>
      </c>
      <c r="C22" s="147">
        <v>1775375.69</v>
      </c>
      <c r="D22" s="312">
        <v>2288421.69</v>
      </c>
      <c r="E22" s="312">
        <v>615237.61</v>
      </c>
      <c r="F22" s="147">
        <f>SUM(F23:F26)</f>
        <v>0</v>
      </c>
      <c r="G22" s="148">
        <f t="shared" si="0"/>
        <v>-615237.61</v>
      </c>
      <c r="H22" s="149">
        <f t="shared" si="1"/>
        <v>-1</v>
      </c>
      <c r="I22" s="748"/>
      <c r="J22" s="312">
        <v>1172219.48</v>
      </c>
      <c r="K22" s="147">
        <f>SUM(K23:K26)</f>
        <v>0</v>
      </c>
      <c r="L22" s="148">
        <f t="shared" si="7"/>
        <v>-1172219.48</v>
      </c>
      <c r="M22" s="149">
        <f t="shared" si="2"/>
        <v>-1</v>
      </c>
      <c r="N22" s="748"/>
      <c r="O22" s="312">
        <v>1726991.61</v>
      </c>
      <c r="P22" s="147">
        <f>SUM(P23:P26)</f>
        <v>0</v>
      </c>
      <c r="Q22" s="148">
        <f t="shared" si="3"/>
        <v>-1726991.61</v>
      </c>
      <c r="R22" s="149">
        <f t="shared" si="4"/>
        <v>-1</v>
      </c>
      <c r="S22" s="731"/>
      <c r="T22" s="147">
        <v>2288421.69</v>
      </c>
      <c r="U22" s="147">
        <f>SUM(U23:U26)</f>
        <v>0</v>
      </c>
      <c r="V22" s="148">
        <f t="shared" si="5"/>
        <v>-2288421.69</v>
      </c>
      <c r="W22" s="149">
        <f t="shared" si="6"/>
        <v>-1</v>
      </c>
      <c r="X22" s="731"/>
    </row>
    <row r="23" spans="1:24" ht="46.5" customHeight="1" x14ac:dyDescent="0.2">
      <c r="A23" s="593" t="s">
        <v>55</v>
      </c>
      <c r="B23" s="117" t="s">
        <v>56</v>
      </c>
      <c r="C23" s="118">
        <v>1485663.4500000002</v>
      </c>
      <c r="D23" s="314">
        <v>1997812.1300000004</v>
      </c>
      <c r="E23" s="314">
        <v>535470.80000000005</v>
      </c>
      <c r="F23" s="118"/>
      <c r="G23" s="135">
        <f t="shared" si="0"/>
        <v>-535470.80000000005</v>
      </c>
      <c r="H23" s="136">
        <f t="shared" si="1"/>
        <v>-1</v>
      </c>
      <c r="I23" s="749"/>
      <c r="J23" s="314">
        <v>1022917.91</v>
      </c>
      <c r="K23" s="118"/>
      <c r="L23" s="135">
        <f t="shared" si="7"/>
        <v>-1022917.91</v>
      </c>
      <c r="M23" s="136">
        <f t="shared" si="2"/>
        <v>-1</v>
      </c>
      <c r="N23" s="749"/>
      <c r="O23" s="314">
        <v>1510365.02</v>
      </c>
      <c r="P23" s="118"/>
      <c r="Q23" s="135">
        <f t="shared" si="3"/>
        <v>-1510365.02</v>
      </c>
      <c r="R23" s="136">
        <f t="shared" si="4"/>
        <v>-1</v>
      </c>
      <c r="S23" s="732"/>
      <c r="T23" s="118">
        <v>1997812.1300000004</v>
      </c>
      <c r="U23" s="114"/>
      <c r="V23" s="115">
        <f t="shared" si="5"/>
        <v>-1997812.1300000004</v>
      </c>
      <c r="W23" s="116">
        <f t="shared" si="6"/>
        <v>-1</v>
      </c>
      <c r="X23" s="732"/>
    </row>
    <row r="24" spans="1:24" ht="46.5" customHeight="1" x14ac:dyDescent="0.2">
      <c r="A24" s="252" t="s">
        <v>57</v>
      </c>
      <c r="B24" s="58" t="s">
        <v>58</v>
      </c>
      <c r="C24" s="114">
        <v>0</v>
      </c>
      <c r="D24" s="313">
        <v>0</v>
      </c>
      <c r="E24" s="313">
        <v>0</v>
      </c>
      <c r="F24" s="114"/>
      <c r="G24" s="115">
        <f t="shared" si="0"/>
        <v>0</v>
      </c>
      <c r="H24" s="116" t="str">
        <f t="shared" si="1"/>
        <v>-</v>
      </c>
      <c r="I24" s="749"/>
      <c r="J24" s="313">
        <v>0</v>
      </c>
      <c r="K24" s="114"/>
      <c r="L24" s="115">
        <f t="shared" si="7"/>
        <v>0</v>
      </c>
      <c r="M24" s="116" t="str">
        <f t="shared" si="2"/>
        <v>-</v>
      </c>
      <c r="N24" s="749"/>
      <c r="O24" s="313">
        <v>0</v>
      </c>
      <c r="P24" s="114"/>
      <c r="Q24" s="115">
        <f t="shared" si="3"/>
        <v>0</v>
      </c>
      <c r="R24" s="116" t="str">
        <f t="shared" si="4"/>
        <v>-</v>
      </c>
      <c r="S24" s="732"/>
      <c r="T24" s="114">
        <v>0</v>
      </c>
      <c r="U24" s="114"/>
      <c r="V24" s="115">
        <f t="shared" si="5"/>
        <v>0</v>
      </c>
      <c r="W24" s="116" t="str">
        <f t="shared" si="6"/>
        <v>-</v>
      </c>
      <c r="X24" s="732"/>
    </row>
    <row r="25" spans="1:24" ht="46.5" customHeight="1" x14ac:dyDescent="0.2">
      <c r="A25" s="252" t="s">
        <v>59</v>
      </c>
      <c r="B25" s="58" t="s">
        <v>60</v>
      </c>
      <c r="C25" s="114">
        <v>62028.83</v>
      </c>
      <c r="D25" s="313">
        <v>66271.149999999994</v>
      </c>
      <c r="E25" s="313">
        <v>19072.13</v>
      </c>
      <c r="F25" s="114"/>
      <c r="G25" s="115">
        <f t="shared" si="0"/>
        <v>-19072.13</v>
      </c>
      <c r="H25" s="116">
        <f t="shared" si="1"/>
        <v>-1</v>
      </c>
      <c r="I25" s="749"/>
      <c r="J25" s="313">
        <v>36370.75</v>
      </c>
      <c r="K25" s="114"/>
      <c r="L25" s="115">
        <f t="shared" si="7"/>
        <v>-36370.75</v>
      </c>
      <c r="M25" s="116">
        <f t="shared" si="2"/>
        <v>-1</v>
      </c>
      <c r="N25" s="749"/>
      <c r="O25" s="313">
        <v>51611.93</v>
      </c>
      <c r="P25" s="114"/>
      <c r="Q25" s="115">
        <f t="shared" si="3"/>
        <v>-51611.93</v>
      </c>
      <c r="R25" s="116">
        <f t="shared" si="4"/>
        <v>-1</v>
      </c>
      <c r="S25" s="732"/>
      <c r="T25" s="114">
        <v>66271.149999999994</v>
      </c>
      <c r="U25" s="114"/>
      <c r="V25" s="115">
        <f t="shared" si="5"/>
        <v>-66271.149999999994</v>
      </c>
      <c r="W25" s="116">
        <f t="shared" si="6"/>
        <v>-1</v>
      </c>
      <c r="X25" s="732"/>
    </row>
    <row r="26" spans="1:24" ht="46.5" customHeight="1" x14ac:dyDescent="0.2">
      <c r="A26" s="252" t="s">
        <v>61</v>
      </c>
      <c r="B26" s="58" t="s">
        <v>62</v>
      </c>
      <c r="C26" s="114">
        <v>227683.41</v>
      </c>
      <c r="D26" s="313">
        <v>224338.41</v>
      </c>
      <c r="E26" s="313">
        <v>60694.680000000008</v>
      </c>
      <c r="F26" s="114"/>
      <c r="G26" s="115">
        <f t="shared" si="0"/>
        <v>-60694.680000000008</v>
      </c>
      <c r="H26" s="116">
        <f t="shared" si="1"/>
        <v>-1</v>
      </c>
      <c r="I26" s="750"/>
      <c r="J26" s="313">
        <v>112930.82</v>
      </c>
      <c r="K26" s="114"/>
      <c r="L26" s="115">
        <f t="shared" si="7"/>
        <v>-112930.82</v>
      </c>
      <c r="M26" s="116">
        <f t="shared" si="2"/>
        <v>-1</v>
      </c>
      <c r="N26" s="750"/>
      <c r="O26" s="313">
        <v>165014.66</v>
      </c>
      <c r="P26" s="114"/>
      <c r="Q26" s="115">
        <f t="shared" si="3"/>
        <v>-165014.66</v>
      </c>
      <c r="R26" s="116">
        <f t="shared" si="4"/>
        <v>-1</v>
      </c>
      <c r="S26" s="733"/>
      <c r="T26" s="114">
        <v>224338.41</v>
      </c>
      <c r="U26" s="114"/>
      <c r="V26" s="115">
        <f t="shared" si="5"/>
        <v>-224338.41</v>
      </c>
      <c r="W26" s="116">
        <f t="shared" si="6"/>
        <v>-1</v>
      </c>
      <c r="X26" s="733"/>
    </row>
    <row r="27" spans="1:24" ht="46.5" customHeight="1" x14ac:dyDescent="0.2">
      <c r="A27" s="119" t="s">
        <v>63</v>
      </c>
      <c r="B27" s="120" t="s">
        <v>64</v>
      </c>
      <c r="C27" s="121">
        <v>296273</v>
      </c>
      <c r="D27" s="315">
        <v>283792</v>
      </c>
      <c r="E27" s="315">
        <v>68527</v>
      </c>
      <c r="F27" s="121"/>
      <c r="G27" s="122">
        <f t="shared" si="0"/>
        <v>-68527</v>
      </c>
      <c r="H27" s="123">
        <f t="shared" si="1"/>
        <v>-1</v>
      </c>
      <c r="I27" s="124"/>
      <c r="J27" s="315">
        <v>139178</v>
      </c>
      <c r="K27" s="121"/>
      <c r="L27" s="122">
        <f t="shared" si="7"/>
        <v>-139178</v>
      </c>
      <c r="M27" s="123">
        <f t="shared" si="2"/>
        <v>-1</v>
      </c>
      <c r="N27" s="124"/>
      <c r="O27" s="315">
        <v>213088</v>
      </c>
      <c r="P27" s="121"/>
      <c r="Q27" s="122">
        <f t="shared" si="3"/>
        <v>-213088</v>
      </c>
      <c r="R27" s="123">
        <f t="shared" si="4"/>
        <v>-1</v>
      </c>
      <c r="S27" s="124"/>
      <c r="T27" s="121">
        <v>283792</v>
      </c>
      <c r="U27" s="121"/>
      <c r="V27" s="122">
        <f t="shared" si="5"/>
        <v>-283792</v>
      </c>
      <c r="W27" s="123">
        <f t="shared" si="6"/>
        <v>-1</v>
      </c>
      <c r="X27" s="124"/>
    </row>
    <row r="28" spans="1:24" ht="46.5" customHeight="1" x14ac:dyDescent="0.2">
      <c r="A28" s="119" t="s">
        <v>65</v>
      </c>
      <c r="B28" s="120" t="s">
        <v>66</v>
      </c>
      <c r="C28" s="121">
        <v>332132.00999999989</v>
      </c>
      <c r="D28" s="315">
        <v>331373.16999999993</v>
      </c>
      <c r="E28" s="315">
        <v>82879</v>
      </c>
      <c r="F28" s="121"/>
      <c r="G28" s="122">
        <f t="shared" si="0"/>
        <v>-82879</v>
      </c>
      <c r="H28" s="123">
        <f t="shared" si="1"/>
        <v>-1</v>
      </c>
      <c r="I28" s="124"/>
      <c r="J28" s="315">
        <v>168479.01</v>
      </c>
      <c r="K28" s="121"/>
      <c r="L28" s="122">
        <f t="shared" si="7"/>
        <v>-168479.01</v>
      </c>
      <c r="M28" s="123">
        <f t="shared" si="2"/>
        <v>-1</v>
      </c>
      <c r="N28" s="124"/>
      <c r="O28" s="315">
        <v>254050.11</v>
      </c>
      <c r="P28" s="121"/>
      <c r="Q28" s="122">
        <f t="shared" si="3"/>
        <v>-254050.11</v>
      </c>
      <c r="R28" s="123">
        <f t="shared" si="4"/>
        <v>-1</v>
      </c>
      <c r="S28" s="124"/>
      <c r="T28" s="121">
        <v>331373.16999999993</v>
      </c>
      <c r="U28" s="121"/>
      <c r="V28" s="122">
        <f t="shared" si="5"/>
        <v>-331373.16999999993</v>
      </c>
      <c r="W28" s="123">
        <f t="shared" si="6"/>
        <v>-1</v>
      </c>
      <c r="X28" s="124"/>
    </row>
    <row r="29" spans="1:24" ht="46.5" customHeight="1" x14ac:dyDescent="0.2">
      <c r="A29" s="119" t="s">
        <v>67</v>
      </c>
      <c r="B29" s="120" t="s">
        <v>68</v>
      </c>
      <c r="C29" s="121">
        <v>0</v>
      </c>
      <c r="D29" s="315">
        <v>0</v>
      </c>
      <c r="E29" s="315">
        <v>0</v>
      </c>
      <c r="F29" s="121"/>
      <c r="G29" s="122">
        <f t="shared" si="0"/>
        <v>0</v>
      </c>
      <c r="H29" s="123" t="str">
        <f t="shared" si="1"/>
        <v>-</v>
      </c>
      <c r="I29" s="124"/>
      <c r="J29" s="315">
        <v>0</v>
      </c>
      <c r="K29" s="121"/>
      <c r="L29" s="122">
        <f t="shared" si="7"/>
        <v>0</v>
      </c>
      <c r="M29" s="123" t="str">
        <f t="shared" si="2"/>
        <v>-</v>
      </c>
      <c r="N29" s="124"/>
      <c r="O29" s="315">
        <v>0</v>
      </c>
      <c r="P29" s="121"/>
      <c r="Q29" s="122">
        <f t="shared" si="3"/>
        <v>0</v>
      </c>
      <c r="R29" s="123" t="str">
        <f t="shared" si="4"/>
        <v>-</v>
      </c>
      <c r="S29" s="124"/>
      <c r="T29" s="121">
        <v>0</v>
      </c>
      <c r="U29" s="121"/>
      <c r="V29" s="122">
        <f t="shared" si="5"/>
        <v>0</v>
      </c>
      <c r="W29" s="123" t="str">
        <f t="shared" si="6"/>
        <v>-</v>
      </c>
      <c r="X29" s="124"/>
    </row>
    <row r="30" spans="1:24" s="2" customFormat="1" ht="46.5" customHeight="1" x14ac:dyDescent="0.2">
      <c r="A30" s="119" t="s">
        <v>69</v>
      </c>
      <c r="B30" s="125" t="s">
        <v>70</v>
      </c>
      <c r="C30" s="121">
        <v>159247</v>
      </c>
      <c r="D30" s="315">
        <v>154566</v>
      </c>
      <c r="E30" s="315">
        <v>37696</v>
      </c>
      <c r="F30" s="121"/>
      <c r="G30" s="122">
        <f t="shared" si="0"/>
        <v>-37696</v>
      </c>
      <c r="H30" s="123">
        <f t="shared" si="1"/>
        <v>-1</v>
      </c>
      <c r="I30" s="124"/>
      <c r="J30" s="315">
        <v>77407</v>
      </c>
      <c r="K30" s="121"/>
      <c r="L30" s="122">
        <f t="shared" si="7"/>
        <v>-77407</v>
      </c>
      <c r="M30" s="123">
        <f t="shared" si="2"/>
        <v>-1</v>
      </c>
      <c r="N30" s="124"/>
      <c r="O30" s="315">
        <v>115940</v>
      </c>
      <c r="P30" s="121"/>
      <c r="Q30" s="122">
        <f t="shared" si="3"/>
        <v>-115940</v>
      </c>
      <c r="R30" s="123">
        <f t="shared" si="4"/>
        <v>-1</v>
      </c>
      <c r="S30" s="124"/>
      <c r="T30" s="121">
        <v>154566</v>
      </c>
      <c r="U30" s="121"/>
      <c r="V30" s="122">
        <f t="shared" si="5"/>
        <v>-154566</v>
      </c>
      <c r="W30" s="123">
        <f t="shared" si="6"/>
        <v>-1</v>
      </c>
      <c r="X30" s="124"/>
    </row>
    <row r="31" spans="1:24" s="2" customFormat="1" ht="46.5" customHeight="1" x14ac:dyDescent="0.2">
      <c r="A31" s="126" t="s">
        <v>71</v>
      </c>
      <c r="B31" s="127" t="s">
        <v>72</v>
      </c>
      <c r="C31" s="128">
        <v>444439.51</v>
      </c>
      <c r="D31" s="316">
        <v>505626.66000000003</v>
      </c>
      <c r="E31" s="316">
        <v>127959.66</v>
      </c>
      <c r="F31" s="128"/>
      <c r="G31" s="129">
        <f t="shared" si="0"/>
        <v>-127959.66</v>
      </c>
      <c r="H31" s="130">
        <f t="shared" si="1"/>
        <v>-1</v>
      </c>
      <c r="I31" s="124" t="s">
        <v>73</v>
      </c>
      <c r="J31" s="316">
        <v>253848.66</v>
      </c>
      <c r="K31" s="128"/>
      <c r="L31" s="129">
        <f t="shared" si="7"/>
        <v>-253848.66</v>
      </c>
      <c r="M31" s="130">
        <f t="shared" si="2"/>
        <v>-1</v>
      </c>
      <c r="N31" s="124"/>
      <c r="O31" s="316">
        <v>379737.66000000003</v>
      </c>
      <c r="P31" s="128"/>
      <c r="Q31" s="129">
        <f t="shared" si="3"/>
        <v>-379737.66000000003</v>
      </c>
      <c r="R31" s="130">
        <f t="shared" si="4"/>
        <v>-1</v>
      </c>
      <c r="S31" s="124"/>
      <c r="T31" s="128">
        <v>505626.66000000003</v>
      </c>
      <c r="U31" s="128"/>
      <c r="V31" s="129">
        <f t="shared" si="5"/>
        <v>-505626.66000000003</v>
      </c>
      <c r="W31" s="130">
        <f t="shared" si="6"/>
        <v>-1</v>
      </c>
      <c r="X31" s="124"/>
    </row>
    <row r="32" spans="1:24" ht="46.5" customHeight="1" x14ac:dyDescent="0.2">
      <c r="A32" s="273" t="s">
        <v>74</v>
      </c>
      <c r="B32" s="274" t="s">
        <v>75</v>
      </c>
      <c r="C32" s="275">
        <v>29679351.249999996</v>
      </c>
      <c r="D32" s="310">
        <v>30192902.380000003</v>
      </c>
      <c r="E32" s="310">
        <v>7339111.5100000007</v>
      </c>
      <c r="F32" s="275">
        <f>F33+F58+F140</f>
        <v>0</v>
      </c>
      <c r="G32" s="276">
        <f t="shared" si="0"/>
        <v>-7339111.5100000007</v>
      </c>
      <c r="H32" s="277">
        <f t="shared" si="1"/>
        <v>-1</v>
      </c>
      <c r="I32" s="278"/>
      <c r="J32" s="310">
        <v>14817175.360000001</v>
      </c>
      <c r="K32" s="275">
        <f>K33+K58+K140</f>
        <v>0</v>
      </c>
      <c r="L32" s="276">
        <f t="shared" si="7"/>
        <v>-14817175.360000001</v>
      </c>
      <c r="M32" s="277">
        <f t="shared" si="2"/>
        <v>-1</v>
      </c>
      <c r="N32" s="278"/>
      <c r="O32" s="310">
        <v>22347764.710000001</v>
      </c>
      <c r="P32" s="275">
        <f>P33+P58+P140</f>
        <v>0</v>
      </c>
      <c r="Q32" s="276">
        <f t="shared" si="3"/>
        <v>-22347764.710000001</v>
      </c>
      <c r="R32" s="277">
        <f t="shared" si="4"/>
        <v>-1</v>
      </c>
      <c r="S32" s="278"/>
      <c r="T32" s="275">
        <v>30192902.380000003</v>
      </c>
      <c r="U32" s="275">
        <f>U33+U58+U140</f>
        <v>0</v>
      </c>
      <c r="V32" s="276">
        <f t="shared" si="5"/>
        <v>-30192902.380000003</v>
      </c>
      <c r="W32" s="277">
        <f t="shared" si="6"/>
        <v>-1</v>
      </c>
      <c r="X32" s="278"/>
    </row>
    <row r="33" spans="1:25" s="2" customFormat="1" ht="46.5" customHeight="1" x14ac:dyDescent="0.2">
      <c r="A33" s="245" t="s">
        <v>76</v>
      </c>
      <c r="B33" s="255" t="s">
        <v>77</v>
      </c>
      <c r="C33" s="311">
        <v>18122414.119999997</v>
      </c>
      <c r="D33" s="311">
        <v>18802065.159999996</v>
      </c>
      <c r="E33" s="311">
        <v>4591823.2300000004</v>
      </c>
      <c r="F33" s="246">
        <f>F34+F50</f>
        <v>0</v>
      </c>
      <c r="G33" s="247">
        <f t="shared" si="0"/>
        <v>-4591823.2300000004</v>
      </c>
      <c r="H33" s="248">
        <f t="shared" si="1"/>
        <v>-1</v>
      </c>
      <c r="I33" s="249"/>
      <c r="J33" s="311">
        <v>9317283.9299999997</v>
      </c>
      <c r="K33" s="246">
        <f>K34+K50</f>
        <v>0</v>
      </c>
      <c r="L33" s="247">
        <f t="shared" si="7"/>
        <v>-9317283.9299999997</v>
      </c>
      <c r="M33" s="248">
        <f t="shared" si="2"/>
        <v>-1</v>
      </c>
      <c r="N33" s="249"/>
      <c r="O33" s="311">
        <v>13959531.019999998</v>
      </c>
      <c r="P33" s="246">
        <f>P34+P50</f>
        <v>0</v>
      </c>
      <c r="Q33" s="247">
        <f t="shared" si="3"/>
        <v>-13959531.019999998</v>
      </c>
      <c r="R33" s="248">
        <f t="shared" si="4"/>
        <v>-1</v>
      </c>
      <c r="S33" s="249"/>
      <c r="T33" s="246">
        <v>18802065.159999996</v>
      </c>
      <c r="U33" s="246">
        <f>U34+U50</f>
        <v>0</v>
      </c>
      <c r="V33" s="247">
        <f>U33-T33</f>
        <v>-18802065.159999996</v>
      </c>
      <c r="W33" s="248">
        <f t="shared" si="6"/>
        <v>-1</v>
      </c>
      <c r="X33" s="249"/>
    </row>
    <row r="34" spans="1:25" s="2" customFormat="1" ht="46.5" customHeight="1" x14ac:dyDescent="0.2">
      <c r="A34" s="99">
        <v>1100</v>
      </c>
      <c r="B34" s="100" t="s">
        <v>78</v>
      </c>
      <c r="C34" s="312">
        <v>14500168.48</v>
      </c>
      <c r="D34" s="312">
        <v>14927078.230000002</v>
      </c>
      <c r="E34" s="312">
        <v>3645850.91</v>
      </c>
      <c r="F34" s="312">
        <f>F35+F39+F48</f>
        <v>0</v>
      </c>
      <c r="G34" s="148">
        <f t="shared" si="0"/>
        <v>-3645850.91</v>
      </c>
      <c r="H34" s="149">
        <f t="shared" si="1"/>
        <v>-1</v>
      </c>
      <c r="I34" s="302"/>
      <c r="J34" s="312">
        <v>7395026.7400000012</v>
      </c>
      <c r="K34" s="312">
        <f>K35+K39+K48</f>
        <v>0</v>
      </c>
      <c r="L34" s="148">
        <f t="shared" si="7"/>
        <v>-7395026.7400000012</v>
      </c>
      <c r="M34" s="149">
        <f t="shared" si="2"/>
        <v>-1</v>
      </c>
      <c r="N34" s="302"/>
      <c r="O34" s="312">
        <v>11060948.960000001</v>
      </c>
      <c r="P34" s="312">
        <f>P35+P39+P48</f>
        <v>0</v>
      </c>
      <c r="Q34" s="148">
        <f t="shared" si="3"/>
        <v>-11060948.960000001</v>
      </c>
      <c r="R34" s="149">
        <f t="shared" si="4"/>
        <v>-1</v>
      </c>
      <c r="S34" s="302"/>
      <c r="T34" s="312">
        <v>14927078.230000002</v>
      </c>
      <c r="U34" s="312">
        <f>U35+U39+U48</f>
        <v>0</v>
      </c>
      <c r="V34" s="148">
        <f t="shared" si="5"/>
        <v>-14927078.230000002</v>
      </c>
      <c r="W34" s="149">
        <f t="shared" si="6"/>
        <v>-1</v>
      </c>
      <c r="X34" s="302"/>
      <c r="Y34" s="729"/>
    </row>
    <row r="35" spans="1:25" ht="46.5" customHeight="1" x14ac:dyDescent="0.2">
      <c r="A35" s="131">
        <v>1110</v>
      </c>
      <c r="B35" s="132" t="s">
        <v>79</v>
      </c>
      <c r="C35" s="317">
        <v>10729198.700000001</v>
      </c>
      <c r="D35" s="317">
        <v>11129378.83</v>
      </c>
      <c r="E35" s="317">
        <v>2735636.83</v>
      </c>
      <c r="F35" s="455">
        <f>F36+F37+F38</f>
        <v>0</v>
      </c>
      <c r="G35" s="115">
        <f t="shared" si="0"/>
        <v>-2735636.83</v>
      </c>
      <c r="H35" s="116">
        <f t="shared" si="1"/>
        <v>-1</v>
      </c>
      <c r="I35" s="730"/>
      <c r="J35" s="317">
        <v>5533550.8300000001</v>
      </c>
      <c r="K35" s="317">
        <f>K36+K37+K38</f>
        <v>0</v>
      </c>
      <c r="L35" s="115">
        <f t="shared" si="7"/>
        <v>-5533550.8300000001</v>
      </c>
      <c r="M35" s="116">
        <f t="shared" si="2"/>
        <v>-1</v>
      </c>
      <c r="N35" s="730"/>
      <c r="O35" s="317">
        <v>8331464.8300000001</v>
      </c>
      <c r="P35" s="317">
        <f>P36+P37+P38</f>
        <v>0</v>
      </c>
      <c r="Q35" s="115">
        <f t="shared" si="3"/>
        <v>-8331464.8300000001</v>
      </c>
      <c r="R35" s="116">
        <f t="shared" si="4"/>
        <v>-1</v>
      </c>
      <c r="S35" s="730"/>
      <c r="T35" s="317">
        <v>11129378.83</v>
      </c>
      <c r="U35" s="317">
        <f>U36+U37+U38</f>
        <v>0</v>
      </c>
      <c r="V35" s="115">
        <f t="shared" si="5"/>
        <v>-11129378.83</v>
      </c>
      <c r="W35" s="116">
        <f t="shared" si="6"/>
        <v>-1</v>
      </c>
      <c r="X35" s="730"/>
    </row>
    <row r="36" spans="1:25" ht="46.5" customHeight="1" x14ac:dyDescent="0.2">
      <c r="A36" s="250">
        <v>1111</v>
      </c>
      <c r="B36" s="133" t="s">
        <v>80</v>
      </c>
      <c r="C36" s="314">
        <v>158133</v>
      </c>
      <c r="D36" s="314">
        <v>108530</v>
      </c>
      <c r="E36" s="314">
        <v>23889.78</v>
      </c>
      <c r="F36" s="118"/>
      <c r="G36" s="115">
        <f t="shared" si="0"/>
        <v>-23889.78</v>
      </c>
      <c r="H36" s="116">
        <f t="shared" si="1"/>
        <v>-1</v>
      </c>
      <c r="I36" s="730"/>
      <c r="J36" s="313">
        <v>57746</v>
      </c>
      <c r="K36" s="114"/>
      <c r="L36" s="115">
        <f t="shared" si="7"/>
        <v>-57746</v>
      </c>
      <c r="M36" s="116">
        <f t="shared" si="2"/>
        <v>-1</v>
      </c>
      <c r="N36" s="730"/>
      <c r="O36" s="313">
        <v>83138</v>
      </c>
      <c r="P36" s="114"/>
      <c r="Q36" s="115">
        <f t="shared" si="3"/>
        <v>-83138</v>
      </c>
      <c r="R36" s="116">
        <f t="shared" si="4"/>
        <v>-1</v>
      </c>
      <c r="S36" s="730"/>
      <c r="T36" s="314">
        <v>108530</v>
      </c>
      <c r="U36" s="114"/>
      <c r="V36" s="115">
        <f t="shared" si="5"/>
        <v>-108530</v>
      </c>
      <c r="W36" s="116">
        <f t="shared" si="6"/>
        <v>-1</v>
      </c>
      <c r="X36" s="730"/>
    </row>
    <row r="37" spans="1:25" ht="46.5" customHeight="1" x14ac:dyDescent="0.2">
      <c r="A37" s="250">
        <v>1112</v>
      </c>
      <c r="B37" s="133" t="s">
        <v>81</v>
      </c>
      <c r="C37" s="313">
        <v>0</v>
      </c>
      <c r="D37" s="313">
        <v>0</v>
      </c>
      <c r="E37" s="314">
        <v>0</v>
      </c>
      <c r="F37" s="118"/>
      <c r="G37" s="115"/>
      <c r="H37" s="116"/>
      <c r="I37" s="730"/>
      <c r="J37" s="313">
        <v>0</v>
      </c>
      <c r="K37" s="114"/>
      <c r="L37" s="115"/>
      <c r="M37" s="116"/>
      <c r="N37" s="730"/>
      <c r="O37" s="313">
        <v>0</v>
      </c>
      <c r="P37" s="114"/>
      <c r="Q37" s="115"/>
      <c r="R37" s="116"/>
      <c r="S37" s="730"/>
      <c r="T37" s="313">
        <v>0</v>
      </c>
      <c r="U37" s="114"/>
      <c r="V37" s="115"/>
      <c r="W37" s="116"/>
      <c r="X37" s="730"/>
    </row>
    <row r="38" spans="1:25" ht="46.5" customHeight="1" x14ac:dyDescent="0.2">
      <c r="A38" s="250">
        <v>1113</v>
      </c>
      <c r="B38" s="133" t="s">
        <v>82</v>
      </c>
      <c r="C38" s="314">
        <f>10729198.7-C36</f>
        <v>10571065.699999999</v>
      </c>
      <c r="D38" s="313">
        <v>11020849</v>
      </c>
      <c r="E38" s="314">
        <v>2711747.05</v>
      </c>
      <c r="F38" s="118"/>
      <c r="G38" s="115">
        <f t="shared" si="0"/>
        <v>-2711747.05</v>
      </c>
      <c r="H38" s="116">
        <f t="shared" si="1"/>
        <v>-1</v>
      </c>
      <c r="I38" s="730"/>
      <c r="J38" s="313">
        <v>5475805</v>
      </c>
      <c r="K38" s="114"/>
      <c r="L38" s="115">
        <f t="shared" si="7"/>
        <v>-5475805</v>
      </c>
      <c r="M38" s="116">
        <f t="shared" si="2"/>
        <v>-1</v>
      </c>
      <c r="N38" s="730"/>
      <c r="O38" s="313">
        <v>8248327</v>
      </c>
      <c r="P38" s="114"/>
      <c r="Q38" s="115">
        <f t="shared" si="3"/>
        <v>-8248327</v>
      </c>
      <c r="R38" s="116">
        <f t="shared" si="4"/>
        <v>-1</v>
      </c>
      <c r="S38" s="730"/>
      <c r="T38" s="313">
        <v>11020849</v>
      </c>
      <c r="U38" s="114"/>
      <c r="V38" s="115">
        <f t="shared" si="5"/>
        <v>-11020849</v>
      </c>
      <c r="W38" s="116">
        <f t="shared" si="6"/>
        <v>-1</v>
      </c>
      <c r="X38" s="730"/>
    </row>
    <row r="39" spans="1:25" s="251" customFormat="1" ht="46.5" customHeight="1" x14ac:dyDescent="0.2">
      <c r="A39" s="131">
        <v>1140</v>
      </c>
      <c r="B39" s="137" t="s">
        <v>83</v>
      </c>
      <c r="C39" s="319">
        <v>3688304.4000000008</v>
      </c>
      <c r="D39" s="318">
        <v>3719108.3400000008</v>
      </c>
      <c r="E39" s="318">
        <v>896709.43</v>
      </c>
      <c r="F39" s="318">
        <f>F40+F41+F42+F43+F44+F45+F46+F47</f>
        <v>0</v>
      </c>
      <c r="G39" s="122">
        <f t="shared" si="0"/>
        <v>-896709.43</v>
      </c>
      <c r="H39" s="123">
        <f t="shared" si="1"/>
        <v>-1</v>
      </c>
      <c r="I39" s="751"/>
      <c r="J39" s="318">
        <v>1825729.0100000002</v>
      </c>
      <c r="K39" s="318">
        <f>K40+K41+K42+K43+K44+K45+K46+K47</f>
        <v>0</v>
      </c>
      <c r="L39" s="122">
        <f t="shared" si="7"/>
        <v>-1825729.0100000002</v>
      </c>
      <c r="M39" s="123">
        <f t="shared" si="2"/>
        <v>-1</v>
      </c>
      <c r="N39" s="751"/>
      <c r="O39" s="318">
        <v>2678372.1700000004</v>
      </c>
      <c r="P39" s="318">
        <f>P40+P41+P42+P43+P44+P45+P46+P47</f>
        <v>0</v>
      </c>
      <c r="Q39" s="122">
        <f t="shared" si="3"/>
        <v>-2678372.1700000004</v>
      </c>
      <c r="R39" s="123">
        <f t="shared" si="4"/>
        <v>-1</v>
      </c>
      <c r="S39" s="731"/>
      <c r="T39" s="318">
        <v>3719108.3400000008</v>
      </c>
      <c r="U39" s="318">
        <f>U40+U41+U42+U43+U44+U45+U46+U47</f>
        <v>0</v>
      </c>
      <c r="V39" s="122">
        <f t="shared" si="5"/>
        <v>-3719108.3400000008</v>
      </c>
      <c r="W39" s="123">
        <f t="shared" si="6"/>
        <v>-1</v>
      </c>
      <c r="X39" s="731"/>
    </row>
    <row r="40" spans="1:25" s="2" customFormat="1" ht="46.5" customHeight="1" x14ac:dyDescent="0.2">
      <c r="A40" s="250">
        <v>1141</v>
      </c>
      <c r="B40" s="134" t="s">
        <v>84</v>
      </c>
      <c r="C40" s="314">
        <v>657997.79</v>
      </c>
      <c r="D40" s="313">
        <v>661898.52</v>
      </c>
      <c r="E40" s="313">
        <v>166614.81</v>
      </c>
      <c r="F40" s="114"/>
      <c r="G40" s="115">
        <f t="shared" si="0"/>
        <v>-166614.81</v>
      </c>
      <c r="H40" s="116">
        <f t="shared" si="1"/>
        <v>-1</v>
      </c>
      <c r="I40" s="752"/>
      <c r="J40" s="313">
        <v>333135.71000000002</v>
      </c>
      <c r="K40" s="114"/>
      <c r="L40" s="115">
        <f t="shared" si="7"/>
        <v>-333135.71000000002</v>
      </c>
      <c r="M40" s="116">
        <f t="shared" si="2"/>
        <v>-1</v>
      </c>
      <c r="N40" s="752"/>
      <c r="O40" s="313">
        <v>489947.33000000007</v>
      </c>
      <c r="P40" s="114"/>
      <c r="Q40" s="115">
        <f t="shared" si="3"/>
        <v>-489947.33000000007</v>
      </c>
      <c r="R40" s="116">
        <f t="shared" si="4"/>
        <v>-1</v>
      </c>
      <c r="S40" s="732"/>
      <c r="T40" s="313">
        <v>661898.52</v>
      </c>
      <c r="U40" s="114"/>
      <c r="V40" s="115">
        <f t="shared" si="5"/>
        <v>-661898.52</v>
      </c>
      <c r="W40" s="116">
        <f t="shared" si="6"/>
        <v>-1</v>
      </c>
      <c r="X40" s="732"/>
    </row>
    <row r="41" spans="1:25" s="2" customFormat="1" ht="46.5" customHeight="1" x14ac:dyDescent="0.2">
      <c r="A41" s="250">
        <v>1142</v>
      </c>
      <c r="B41" s="134" t="s">
        <v>85</v>
      </c>
      <c r="C41" s="314">
        <v>890370.53</v>
      </c>
      <c r="D41" s="313">
        <v>890753.46000000008</v>
      </c>
      <c r="E41" s="313">
        <v>213426.59</v>
      </c>
      <c r="F41" s="114"/>
      <c r="G41" s="115">
        <f t="shared" si="0"/>
        <v>-213426.59</v>
      </c>
      <c r="H41" s="116">
        <f t="shared" si="1"/>
        <v>-1</v>
      </c>
      <c r="I41" s="752"/>
      <c r="J41" s="313">
        <v>456538.07</v>
      </c>
      <c r="K41" s="114"/>
      <c r="L41" s="115">
        <f t="shared" si="7"/>
        <v>-456538.07</v>
      </c>
      <c r="M41" s="116">
        <f t="shared" si="2"/>
        <v>-1</v>
      </c>
      <c r="N41" s="752"/>
      <c r="O41" s="313">
        <v>638016.22000000009</v>
      </c>
      <c r="P41" s="114"/>
      <c r="Q41" s="115">
        <f t="shared" si="3"/>
        <v>-638016.22000000009</v>
      </c>
      <c r="R41" s="116">
        <f t="shared" si="4"/>
        <v>-1</v>
      </c>
      <c r="S41" s="732"/>
      <c r="T41" s="313">
        <v>890753.46000000008</v>
      </c>
      <c r="U41" s="114"/>
      <c r="V41" s="115">
        <f t="shared" si="5"/>
        <v>-890753.46000000008</v>
      </c>
      <c r="W41" s="116">
        <f t="shared" si="6"/>
        <v>-1</v>
      </c>
      <c r="X41" s="732"/>
    </row>
    <row r="42" spans="1:25" s="2" customFormat="1" ht="46.5" customHeight="1" x14ac:dyDescent="0.2">
      <c r="A42" s="250">
        <v>1144</v>
      </c>
      <c r="B42" s="134" t="s">
        <v>86</v>
      </c>
      <c r="C42" s="422">
        <v>0</v>
      </c>
      <c r="D42" s="313">
        <v>0</v>
      </c>
      <c r="E42" s="313">
        <v>0</v>
      </c>
      <c r="F42" s="114"/>
      <c r="G42" s="115">
        <f t="shared" si="0"/>
        <v>0</v>
      </c>
      <c r="H42" s="116" t="str">
        <f t="shared" si="1"/>
        <v>-</v>
      </c>
      <c r="I42" s="752"/>
      <c r="J42" s="313">
        <v>0</v>
      </c>
      <c r="K42" s="114"/>
      <c r="L42" s="115">
        <f t="shared" si="7"/>
        <v>0</v>
      </c>
      <c r="M42" s="116" t="str">
        <f t="shared" si="2"/>
        <v>-</v>
      </c>
      <c r="N42" s="752"/>
      <c r="O42" s="313">
        <v>0</v>
      </c>
      <c r="P42" s="114"/>
      <c r="Q42" s="115">
        <f t="shared" si="3"/>
        <v>0</v>
      </c>
      <c r="R42" s="116" t="str">
        <f t="shared" si="4"/>
        <v>-</v>
      </c>
      <c r="S42" s="732"/>
      <c r="T42" s="313">
        <v>0</v>
      </c>
      <c r="U42" s="114"/>
      <c r="V42" s="115">
        <f t="shared" si="5"/>
        <v>0</v>
      </c>
      <c r="W42" s="116" t="str">
        <f t="shared" si="6"/>
        <v>-</v>
      </c>
      <c r="X42" s="732"/>
    </row>
    <row r="43" spans="1:25" s="2" customFormat="1" ht="46.5" customHeight="1" x14ac:dyDescent="0.2">
      <c r="A43" s="250">
        <v>1145</v>
      </c>
      <c r="B43" s="134" t="s">
        <v>87</v>
      </c>
      <c r="C43" s="314">
        <v>1707741.92</v>
      </c>
      <c r="D43" s="313">
        <v>1728269.33</v>
      </c>
      <c r="E43" s="313">
        <v>442618.34</v>
      </c>
      <c r="F43" s="114"/>
      <c r="G43" s="115">
        <f t="shared" si="0"/>
        <v>-442618.34</v>
      </c>
      <c r="H43" s="116">
        <f t="shared" si="1"/>
        <v>-1</v>
      </c>
      <c r="I43" s="752"/>
      <c r="J43" s="313">
        <v>846587.54</v>
      </c>
      <c r="K43" s="114"/>
      <c r="L43" s="115">
        <f t="shared" si="7"/>
        <v>-846587.54</v>
      </c>
      <c r="M43" s="116">
        <f t="shared" si="2"/>
        <v>-1</v>
      </c>
      <c r="N43" s="752"/>
      <c r="O43" s="313">
        <v>1273683.79</v>
      </c>
      <c r="P43" s="114"/>
      <c r="Q43" s="115">
        <f t="shared" si="3"/>
        <v>-1273683.79</v>
      </c>
      <c r="R43" s="116">
        <f t="shared" si="4"/>
        <v>-1</v>
      </c>
      <c r="S43" s="732"/>
      <c r="T43" s="313">
        <v>1728269.33</v>
      </c>
      <c r="U43" s="114"/>
      <c r="V43" s="115">
        <f t="shared" si="5"/>
        <v>-1728269.33</v>
      </c>
      <c r="W43" s="116">
        <f t="shared" si="6"/>
        <v>-1</v>
      </c>
      <c r="X43" s="732"/>
    </row>
    <row r="44" spans="1:25" s="2" customFormat="1" ht="46.5" customHeight="1" x14ac:dyDescent="0.2">
      <c r="A44" s="250">
        <v>1146</v>
      </c>
      <c r="B44" s="134" t="s">
        <v>88</v>
      </c>
      <c r="C44" s="314">
        <v>88006.719999999987</v>
      </c>
      <c r="D44" s="313">
        <v>86050.409999999989</v>
      </c>
      <c r="E44" s="313">
        <v>19331.47</v>
      </c>
      <c r="F44" s="114"/>
      <c r="G44" s="115">
        <f t="shared" si="0"/>
        <v>-19331.47</v>
      </c>
      <c r="H44" s="116">
        <f t="shared" si="1"/>
        <v>-1</v>
      </c>
      <c r="I44" s="752"/>
      <c r="J44" s="313">
        <v>42511.659999999996</v>
      </c>
      <c r="K44" s="114"/>
      <c r="L44" s="115">
        <f t="shared" si="7"/>
        <v>-42511.659999999996</v>
      </c>
      <c r="M44" s="116">
        <f t="shared" si="2"/>
        <v>-1</v>
      </c>
      <c r="N44" s="752"/>
      <c r="O44" s="313">
        <v>63632.62999999999</v>
      </c>
      <c r="P44" s="114"/>
      <c r="Q44" s="115">
        <f t="shared" si="3"/>
        <v>-63632.62999999999</v>
      </c>
      <c r="R44" s="116">
        <f t="shared" si="4"/>
        <v>-1</v>
      </c>
      <c r="S44" s="732"/>
      <c r="T44" s="313">
        <v>86050.409999999989</v>
      </c>
      <c r="U44" s="114"/>
      <c r="V44" s="115">
        <f t="shared" si="5"/>
        <v>-86050.409999999989</v>
      </c>
      <c r="W44" s="116">
        <f t="shared" si="6"/>
        <v>-1</v>
      </c>
      <c r="X44" s="732"/>
    </row>
    <row r="45" spans="1:25" s="2" customFormat="1" ht="46.5" customHeight="1" x14ac:dyDescent="0.2">
      <c r="A45" s="250">
        <v>1147</v>
      </c>
      <c r="B45" s="134" t="s">
        <v>89</v>
      </c>
      <c r="C45" s="314">
        <v>72659.19</v>
      </c>
      <c r="D45" s="313">
        <v>76333.63</v>
      </c>
      <c r="E45" s="313">
        <v>21361.46</v>
      </c>
      <c r="F45" s="114"/>
      <c r="G45" s="115">
        <f t="shared" si="0"/>
        <v>-21361.46</v>
      </c>
      <c r="H45" s="116">
        <f t="shared" si="1"/>
        <v>-1</v>
      </c>
      <c r="I45" s="752"/>
      <c r="J45" s="313">
        <v>37837.449999999997</v>
      </c>
      <c r="K45" s="114"/>
      <c r="L45" s="115">
        <f t="shared" si="7"/>
        <v>-37837.449999999997</v>
      </c>
      <c r="M45" s="116">
        <f t="shared" si="2"/>
        <v>-1</v>
      </c>
      <c r="N45" s="752"/>
      <c r="O45" s="313">
        <v>54237.01</v>
      </c>
      <c r="P45" s="114"/>
      <c r="Q45" s="115">
        <f t="shared" si="3"/>
        <v>-54237.01</v>
      </c>
      <c r="R45" s="116">
        <f t="shared" si="4"/>
        <v>-1</v>
      </c>
      <c r="S45" s="732"/>
      <c r="T45" s="313">
        <v>76333.63</v>
      </c>
      <c r="U45" s="114"/>
      <c r="V45" s="115">
        <f t="shared" si="5"/>
        <v>-76333.63</v>
      </c>
      <c r="W45" s="116">
        <f t="shared" si="6"/>
        <v>-1</v>
      </c>
      <c r="X45" s="732"/>
    </row>
    <row r="46" spans="1:25" s="2" customFormat="1" ht="46.5" customHeight="1" x14ac:dyDescent="0.2">
      <c r="A46" s="250">
        <v>1148</v>
      </c>
      <c r="B46" s="134" t="s">
        <v>90</v>
      </c>
      <c r="C46" s="314">
        <v>130589.22</v>
      </c>
      <c r="D46" s="313">
        <v>130589.22</v>
      </c>
      <c r="E46" s="313">
        <v>0</v>
      </c>
      <c r="F46" s="114"/>
      <c r="G46" s="115">
        <f t="shared" si="0"/>
        <v>0</v>
      </c>
      <c r="H46" s="116" t="str">
        <f t="shared" si="1"/>
        <v>-</v>
      </c>
      <c r="I46" s="752"/>
      <c r="J46" s="313">
        <v>43622.74</v>
      </c>
      <c r="K46" s="114"/>
      <c r="L46" s="115">
        <f t="shared" si="7"/>
        <v>-43622.74</v>
      </c>
      <c r="M46" s="116">
        <f t="shared" si="2"/>
        <v>-1</v>
      </c>
      <c r="N46" s="752"/>
      <c r="O46" s="313">
        <v>51410.619999999995</v>
      </c>
      <c r="P46" s="114"/>
      <c r="Q46" s="115">
        <f t="shared" si="3"/>
        <v>-51410.619999999995</v>
      </c>
      <c r="R46" s="116">
        <f t="shared" si="4"/>
        <v>-1</v>
      </c>
      <c r="S46" s="732"/>
      <c r="T46" s="313">
        <v>130589.22</v>
      </c>
      <c r="U46" s="114"/>
      <c r="V46" s="115">
        <f t="shared" si="5"/>
        <v>-130589.22</v>
      </c>
      <c r="W46" s="116">
        <f t="shared" si="6"/>
        <v>-1</v>
      </c>
      <c r="X46" s="732"/>
    </row>
    <row r="47" spans="1:25" s="2" customFormat="1" ht="46.5" customHeight="1" x14ac:dyDescent="0.2">
      <c r="A47" s="250">
        <v>1149</v>
      </c>
      <c r="B47" s="134" t="s">
        <v>91</v>
      </c>
      <c r="C47" s="314">
        <v>140939.03</v>
      </c>
      <c r="D47" s="314">
        <v>145213.76999999999</v>
      </c>
      <c r="E47" s="314">
        <v>33356.759999999995</v>
      </c>
      <c r="F47" s="114"/>
      <c r="G47" s="135">
        <f t="shared" si="0"/>
        <v>-33356.759999999995</v>
      </c>
      <c r="H47" s="136">
        <f t="shared" si="1"/>
        <v>-1</v>
      </c>
      <c r="I47" s="753"/>
      <c r="J47" s="314">
        <v>65495.839999999997</v>
      </c>
      <c r="K47" s="114"/>
      <c r="L47" s="135">
        <f t="shared" si="7"/>
        <v>-65495.839999999997</v>
      </c>
      <c r="M47" s="136">
        <f t="shared" si="2"/>
        <v>-1</v>
      </c>
      <c r="N47" s="753"/>
      <c r="O47" s="314">
        <v>107444.56999999999</v>
      </c>
      <c r="P47" s="114"/>
      <c r="Q47" s="135">
        <f t="shared" si="3"/>
        <v>-107444.56999999999</v>
      </c>
      <c r="R47" s="136">
        <f t="shared" si="4"/>
        <v>-1</v>
      </c>
      <c r="S47" s="733"/>
      <c r="T47" s="314">
        <v>145213.76999999999</v>
      </c>
      <c r="U47" s="114"/>
      <c r="V47" s="135">
        <f t="shared" si="5"/>
        <v>-145213.76999999999</v>
      </c>
      <c r="W47" s="136">
        <f t="shared" si="6"/>
        <v>-1</v>
      </c>
      <c r="X47" s="733"/>
    </row>
    <row r="48" spans="1:25" s="2" customFormat="1" ht="31.5" x14ac:dyDescent="0.2">
      <c r="A48" s="365">
        <v>1150</v>
      </c>
      <c r="B48" s="137" t="s">
        <v>92</v>
      </c>
      <c r="C48" s="316">
        <v>82665.38</v>
      </c>
      <c r="D48" s="315">
        <v>78591.06</v>
      </c>
      <c r="E48" s="315">
        <v>13504.65</v>
      </c>
      <c r="F48" s="121"/>
      <c r="G48" s="122">
        <f t="shared" si="0"/>
        <v>-13504.65</v>
      </c>
      <c r="H48" s="123">
        <f t="shared" si="1"/>
        <v>-1</v>
      </c>
      <c r="I48" s="139"/>
      <c r="J48" s="315">
        <v>35746.899999999994</v>
      </c>
      <c r="K48" s="121"/>
      <c r="L48" s="122">
        <f t="shared" si="7"/>
        <v>-35746.899999999994</v>
      </c>
      <c r="M48" s="123">
        <f t="shared" si="2"/>
        <v>-1</v>
      </c>
      <c r="N48" s="139"/>
      <c r="O48" s="315">
        <v>51111.959999999992</v>
      </c>
      <c r="P48" s="121"/>
      <c r="Q48" s="122">
        <f t="shared" si="3"/>
        <v>-51111.959999999992</v>
      </c>
      <c r="R48" s="123">
        <f t="shared" si="4"/>
        <v>-1</v>
      </c>
      <c r="S48" s="124"/>
      <c r="T48" s="315">
        <v>78591.06</v>
      </c>
      <c r="U48" s="121"/>
      <c r="V48" s="122">
        <f t="shared" si="5"/>
        <v>-78591.06</v>
      </c>
      <c r="W48" s="123">
        <f t="shared" si="6"/>
        <v>-1</v>
      </c>
      <c r="X48" s="124"/>
    </row>
    <row r="49" spans="1:24" s="2" customFormat="1" ht="46.5" customHeight="1" x14ac:dyDescent="0.2">
      <c r="A49" s="131">
        <v>1170</v>
      </c>
      <c r="B49" s="140" t="s">
        <v>93</v>
      </c>
      <c r="C49" s="420">
        <v>0</v>
      </c>
      <c r="D49" s="315">
        <v>0</v>
      </c>
      <c r="E49" s="315">
        <v>0</v>
      </c>
      <c r="F49" s="121"/>
      <c r="G49" s="122">
        <f t="shared" si="0"/>
        <v>0</v>
      </c>
      <c r="H49" s="123" t="str">
        <f t="shared" si="1"/>
        <v>-</v>
      </c>
      <c r="I49" s="124"/>
      <c r="J49" s="315">
        <v>0</v>
      </c>
      <c r="K49" s="121"/>
      <c r="L49" s="122">
        <f t="shared" si="7"/>
        <v>0</v>
      </c>
      <c r="M49" s="123" t="str">
        <f t="shared" si="2"/>
        <v>-</v>
      </c>
      <c r="N49" s="124"/>
      <c r="O49" s="315">
        <v>0</v>
      </c>
      <c r="P49" s="121"/>
      <c r="Q49" s="122">
        <f t="shared" si="3"/>
        <v>0</v>
      </c>
      <c r="R49" s="123" t="str">
        <f t="shared" si="4"/>
        <v>-</v>
      </c>
      <c r="S49" s="124"/>
      <c r="T49" s="315">
        <v>0</v>
      </c>
      <c r="U49" s="121"/>
      <c r="V49" s="122">
        <f t="shared" si="5"/>
        <v>0</v>
      </c>
      <c r="W49" s="123" t="str">
        <f t="shared" si="6"/>
        <v>-</v>
      </c>
      <c r="X49" s="124"/>
    </row>
    <row r="50" spans="1:24" s="2" customFormat="1" ht="46.5" customHeight="1" x14ac:dyDescent="0.2">
      <c r="A50" s="99">
        <v>1200</v>
      </c>
      <c r="B50" s="153" t="s">
        <v>94</v>
      </c>
      <c r="C50" s="312">
        <v>3622245.6399999997</v>
      </c>
      <c r="D50" s="312">
        <v>3874986.93</v>
      </c>
      <c r="E50" s="312">
        <v>945972.32000000007</v>
      </c>
      <c r="F50" s="312">
        <f>F51+F52</f>
        <v>0</v>
      </c>
      <c r="G50" s="148">
        <f t="shared" si="0"/>
        <v>-945972.32000000007</v>
      </c>
      <c r="H50" s="149">
        <f t="shared" si="1"/>
        <v>-1</v>
      </c>
      <c r="I50" s="158"/>
      <c r="J50" s="312">
        <v>1922257.1900000002</v>
      </c>
      <c r="K50" s="312">
        <f>K51+K52</f>
        <v>0</v>
      </c>
      <c r="L50" s="148">
        <f t="shared" si="7"/>
        <v>-1922257.1900000002</v>
      </c>
      <c r="M50" s="149">
        <f t="shared" si="2"/>
        <v>-1</v>
      </c>
      <c r="N50" s="158"/>
      <c r="O50" s="312">
        <v>2898582.06</v>
      </c>
      <c r="P50" s="312">
        <f>P51+P52</f>
        <v>0</v>
      </c>
      <c r="Q50" s="148">
        <f t="shared" si="3"/>
        <v>-2898582.06</v>
      </c>
      <c r="R50" s="149">
        <f t="shared" si="4"/>
        <v>-1</v>
      </c>
      <c r="S50" s="158"/>
      <c r="T50" s="312">
        <v>3874986.93</v>
      </c>
      <c r="U50" s="312">
        <f>U51+U52</f>
        <v>0</v>
      </c>
      <c r="V50" s="148">
        <f t="shared" si="5"/>
        <v>-3874986.93</v>
      </c>
      <c r="W50" s="149">
        <f t="shared" si="6"/>
        <v>-1</v>
      </c>
      <c r="X50" s="158"/>
    </row>
    <row r="51" spans="1:24" s="2" customFormat="1" ht="46.5" customHeight="1" x14ac:dyDescent="0.2">
      <c r="A51" s="131">
        <v>1210</v>
      </c>
      <c r="B51" s="137" t="s">
        <v>95</v>
      </c>
      <c r="C51" s="315">
        <v>3429954.7899999996</v>
      </c>
      <c r="D51" s="315">
        <v>3555805.39</v>
      </c>
      <c r="E51" s="315">
        <v>867622.39</v>
      </c>
      <c r="F51" s="315"/>
      <c r="G51" s="122">
        <f t="shared" si="0"/>
        <v>-867622.39</v>
      </c>
      <c r="H51" s="123">
        <f t="shared" si="1"/>
        <v>-1</v>
      </c>
      <c r="I51" s="124"/>
      <c r="J51" s="315">
        <v>1763683.3900000001</v>
      </c>
      <c r="K51" s="315"/>
      <c r="L51" s="122">
        <f t="shared" si="7"/>
        <v>-1763683.3900000001</v>
      </c>
      <c r="M51" s="123">
        <f t="shared" si="2"/>
        <v>-1</v>
      </c>
      <c r="N51" s="124"/>
      <c r="O51" s="315">
        <v>2659744.39</v>
      </c>
      <c r="P51" s="315"/>
      <c r="Q51" s="122">
        <f t="shared" si="3"/>
        <v>-2659744.39</v>
      </c>
      <c r="R51" s="123">
        <f t="shared" si="4"/>
        <v>-1</v>
      </c>
      <c r="S51" s="124"/>
      <c r="T51" s="315">
        <v>3555805.39</v>
      </c>
      <c r="U51" s="315"/>
      <c r="V51" s="122">
        <f t="shared" si="5"/>
        <v>-3555805.39</v>
      </c>
      <c r="W51" s="123">
        <f t="shared" si="6"/>
        <v>-1</v>
      </c>
      <c r="X51" s="124"/>
    </row>
    <row r="52" spans="1:24" s="2" customFormat="1" ht="46.5" customHeight="1" x14ac:dyDescent="0.2">
      <c r="A52" s="131">
        <v>1220</v>
      </c>
      <c r="B52" s="137" t="s">
        <v>96</v>
      </c>
      <c r="C52" s="318">
        <v>192290.85000000003</v>
      </c>
      <c r="D52" s="318">
        <v>319181.53999999998</v>
      </c>
      <c r="E52" s="318">
        <v>78349.929999999993</v>
      </c>
      <c r="F52" s="318">
        <f>F53+F54+F55+F56+F57</f>
        <v>0</v>
      </c>
      <c r="G52" s="122">
        <f t="shared" si="0"/>
        <v>-78349.929999999993</v>
      </c>
      <c r="H52" s="123">
        <f t="shared" si="1"/>
        <v>-1</v>
      </c>
      <c r="I52" s="737"/>
      <c r="J52" s="318">
        <v>158573.80000000002</v>
      </c>
      <c r="K52" s="318">
        <f>K53+K54+K55+K56+K57</f>
        <v>0</v>
      </c>
      <c r="L52" s="122">
        <f t="shared" si="7"/>
        <v>-158573.80000000002</v>
      </c>
      <c r="M52" s="123">
        <f t="shared" si="2"/>
        <v>-1</v>
      </c>
      <c r="N52" s="737"/>
      <c r="O52" s="318">
        <v>238837.67000000004</v>
      </c>
      <c r="P52" s="318">
        <f>P53+P54+P55+P56+P57</f>
        <v>0</v>
      </c>
      <c r="Q52" s="122">
        <f t="shared" si="3"/>
        <v>-238837.67000000004</v>
      </c>
      <c r="R52" s="123">
        <f t="shared" si="4"/>
        <v>-1</v>
      </c>
      <c r="S52" s="741"/>
      <c r="T52" s="318">
        <v>319181.53999999998</v>
      </c>
      <c r="U52" s="318">
        <f>U53+U54+U55+U56+U57</f>
        <v>0</v>
      </c>
      <c r="V52" s="122">
        <f t="shared" si="5"/>
        <v>-319181.53999999998</v>
      </c>
      <c r="W52" s="123">
        <f t="shared" si="6"/>
        <v>-1</v>
      </c>
      <c r="X52" s="741"/>
    </row>
    <row r="53" spans="1:24" s="2" customFormat="1" ht="46.5" customHeight="1" x14ac:dyDescent="0.2">
      <c r="A53" s="250">
        <v>1221</v>
      </c>
      <c r="B53" s="134" t="s">
        <v>97</v>
      </c>
      <c r="C53" s="114">
        <v>191870.85000000003</v>
      </c>
      <c r="D53" s="313">
        <v>318721.53999999998</v>
      </c>
      <c r="E53" s="313">
        <v>78229.929999999993</v>
      </c>
      <c r="F53" s="313"/>
      <c r="G53" s="115">
        <f t="shared" si="0"/>
        <v>-78229.929999999993</v>
      </c>
      <c r="H53" s="116">
        <f t="shared" si="1"/>
        <v>-1</v>
      </c>
      <c r="I53" s="738"/>
      <c r="J53" s="313">
        <v>158393.80000000002</v>
      </c>
      <c r="K53" s="313"/>
      <c r="L53" s="115">
        <f t="shared" si="7"/>
        <v>-158393.80000000002</v>
      </c>
      <c r="M53" s="116">
        <f t="shared" si="2"/>
        <v>-1</v>
      </c>
      <c r="N53" s="738"/>
      <c r="O53" s="313">
        <v>238557.67000000004</v>
      </c>
      <c r="P53" s="313"/>
      <c r="Q53" s="115">
        <f t="shared" si="3"/>
        <v>-238557.67000000004</v>
      </c>
      <c r="R53" s="116">
        <f t="shared" si="4"/>
        <v>-1</v>
      </c>
      <c r="S53" s="742"/>
      <c r="T53" s="313">
        <v>318721.53999999998</v>
      </c>
      <c r="U53" s="313"/>
      <c r="V53" s="115">
        <f t="shared" si="5"/>
        <v>-318721.53999999998</v>
      </c>
      <c r="W53" s="116">
        <f t="shared" si="6"/>
        <v>-1</v>
      </c>
      <c r="X53" s="742"/>
    </row>
    <row r="54" spans="1:24" s="2" customFormat="1" ht="46.5" customHeight="1" x14ac:dyDescent="0.2">
      <c r="A54" s="250">
        <v>1222</v>
      </c>
      <c r="B54" s="134" t="s">
        <v>98</v>
      </c>
      <c r="C54" s="114">
        <v>0</v>
      </c>
      <c r="D54" s="313">
        <v>0</v>
      </c>
      <c r="E54" s="313">
        <v>0</v>
      </c>
      <c r="F54" s="114"/>
      <c r="G54" s="115">
        <f t="shared" si="0"/>
        <v>0</v>
      </c>
      <c r="H54" s="116" t="str">
        <f t="shared" si="1"/>
        <v>-</v>
      </c>
      <c r="I54" s="738"/>
      <c r="J54" s="313">
        <v>0</v>
      </c>
      <c r="K54" s="114"/>
      <c r="L54" s="115">
        <f t="shared" si="7"/>
        <v>0</v>
      </c>
      <c r="M54" s="116" t="str">
        <f t="shared" si="2"/>
        <v>-</v>
      </c>
      <c r="N54" s="738"/>
      <c r="O54" s="313">
        <v>0</v>
      </c>
      <c r="P54" s="114"/>
      <c r="Q54" s="115">
        <f t="shared" si="3"/>
        <v>0</v>
      </c>
      <c r="R54" s="116" t="str">
        <f t="shared" si="4"/>
        <v>-</v>
      </c>
      <c r="S54" s="742"/>
      <c r="T54" s="114">
        <v>0</v>
      </c>
      <c r="U54" s="114"/>
      <c r="V54" s="115">
        <f t="shared" si="5"/>
        <v>0</v>
      </c>
      <c r="W54" s="116" t="str">
        <f t="shared" si="6"/>
        <v>-</v>
      </c>
      <c r="X54" s="742"/>
    </row>
    <row r="55" spans="1:24" s="2" customFormat="1" ht="46.5" customHeight="1" x14ac:dyDescent="0.2">
      <c r="A55" s="250">
        <v>1223</v>
      </c>
      <c r="B55" s="40" t="s">
        <v>99</v>
      </c>
      <c r="C55" s="114">
        <v>0</v>
      </c>
      <c r="D55" s="313">
        <v>0</v>
      </c>
      <c r="E55" s="313">
        <v>0</v>
      </c>
      <c r="F55" s="114"/>
      <c r="G55" s="115">
        <f t="shared" si="0"/>
        <v>0</v>
      </c>
      <c r="H55" s="116" t="str">
        <f t="shared" si="1"/>
        <v>-</v>
      </c>
      <c r="I55" s="738"/>
      <c r="J55" s="313">
        <v>0</v>
      </c>
      <c r="K55" s="114"/>
      <c r="L55" s="115">
        <f t="shared" si="7"/>
        <v>0</v>
      </c>
      <c r="M55" s="116" t="str">
        <f t="shared" si="2"/>
        <v>-</v>
      </c>
      <c r="N55" s="738"/>
      <c r="O55" s="313">
        <v>0</v>
      </c>
      <c r="P55" s="114"/>
      <c r="Q55" s="115">
        <f t="shared" si="3"/>
        <v>0</v>
      </c>
      <c r="R55" s="116" t="str">
        <f t="shared" si="4"/>
        <v>-</v>
      </c>
      <c r="S55" s="742"/>
      <c r="T55" s="114">
        <v>0</v>
      </c>
      <c r="U55" s="114"/>
      <c r="V55" s="115">
        <f t="shared" si="5"/>
        <v>0</v>
      </c>
      <c r="W55" s="116" t="str">
        <f t="shared" si="6"/>
        <v>-</v>
      </c>
      <c r="X55" s="742"/>
    </row>
    <row r="56" spans="1:24" s="2" customFormat="1" ht="46.5" customHeight="1" x14ac:dyDescent="0.2">
      <c r="A56" s="250">
        <v>1227</v>
      </c>
      <c r="B56" s="134" t="s">
        <v>100</v>
      </c>
      <c r="C56" s="114">
        <v>0</v>
      </c>
      <c r="D56" s="313">
        <v>0</v>
      </c>
      <c r="E56" s="313">
        <v>0</v>
      </c>
      <c r="F56" s="114"/>
      <c r="G56" s="115">
        <f t="shared" si="0"/>
        <v>0</v>
      </c>
      <c r="H56" s="116" t="str">
        <f t="shared" si="1"/>
        <v>-</v>
      </c>
      <c r="I56" s="738"/>
      <c r="J56" s="313">
        <v>0</v>
      </c>
      <c r="K56" s="114"/>
      <c r="L56" s="115">
        <f t="shared" si="7"/>
        <v>0</v>
      </c>
      <c r="M56" s="116" t="str">
        <f t="shared" si="2"/>
        <v>-</v>
      </c>
      <c r="N56" s="738"/>
      <c r="O56" s="313">
        <v>0</v>
      </c>
      <c r="P56" s="114"/>
      <c r="Q56" s="115">
        <f t="shared" si="3"/>
        <v>0</v>
      </c>
      <c r="R56" s="116" t="str">
        <f t="shared" si="4"/>
        <v>-</v>
      </c>
      <c r="S56" s="742"/>
      <c r="T56" s="114">
        <v>0</v>
      </c>
      <c r="U56" s="114"/>
      <c r="V56" s="115">
        <f t="shared" si="5"/>
        <v>0</v>
      </c>
      <c r="W56" s="116" t="str">
        <f t="shared" si="6"/>
        <v>-</v>
      </c>
      <c r="X56" s="742"/>
    </row>
    <row r="57" spans="1:24" s="2" customFormat="1" ht="46.5" customHeight="1" x14ac:dyDescent="0.2">
      <c r="A57" s="250">
        <v>1228</v>
      </c>
      <c r="B57" s="134" t="s">
        <v>101</v>
      </c>
      <c r="C57" s="114">
        <v>420</v>
      </c>
      <c r="D57" s="313">
        <v>460</v>
      </c>
      <c r="E57" s="313">
        <v>120</v>
      </c>
      <c r="F57" s="114"/>
      <c r="G57" s="115">
        <f t="shared" si="0"/>
        <v>-120</v>
      </c>
      <c r="H57" s="116">
        <f t="shared" si="1"/>
        <v>-1</v>
      </c>
      <c r="I57" s="739"/>
      <c r="J57" s="313">
        <v>180</v>
      </c>
      <c r="K57" s="114"/>
      <c r="L57" s="115">
        <f t="shared" si="7"/>
        <v>-180</v>
      </c>
      <c r="M57" s="116">
        <f t="shared" si="2"/>
        <v>-1</v>
      </c>
      <c r="N57" s="739"/>
      <c r="O57" s="314">
        <v>280</v>
      </c>
      <c r="P57" s="114"/>
      <c r="Q57" s="115">
        <f t="shared" si="3"/>
        <v>-280</v>
      </c>
      <c r="R57" s="116">
        <f t="shared" si="4"/>
        <v>-1</v>
      </c>
      <c r="S57" s="743"/>
      <c r="T57" s="114">
        <v>460</v>
      </c>
      <c r="U57" s="114"/>
      <c r="V57" s="115">
        <f t="shared" si="5"/>
        <v>-460</v>
      </c>
      <c r="W57" s="116">
        <f t="shared" si="6"/>
        <v>-1</v>
      </c>
      <c r="X57" s="743"/>
    </row>
    <row r="58" spans="1:24" s="2" customFormat="1" ht="46.5" customHeight="1" x14ac:dyDescent="0.2">
      <c r="A58" s="245">
        <v>2000</v>
      </c>
      <c r="B58" s="255" t="s">
        <v>102</v>
      </c>
      <c r="C58" s="246">
        <v>11556937.129999999</v>
      </c>
      <c r="D58" s="311">
        <v>11390837.220000001</v>
      </c>
      <c r="E58" s="311">
        <v>2747288.2800000003</v>
      </c>
      <c r="F58" s="246">
        <f>F59+F66+F103+F129+F139</f>
        <v>0</v>
      </c>
      <c r="G58" s="247">
        <f>F58-E58</f>
        <v>-2747288.2800000003</v>
      </c>
      <c r="H58" s="248">
        <f>IFERROR(G58/ABS(E58), "-")</f>
        <v>-1</v>
      </c>
      <c r="I58" s="246"/>
      <c r="J58" s="311">
        <v>5499891.4300000006</v>
      </c>
      <c r="K58" s="246">
        <f>K59+K66+K103+K129+K139</f>
        <v>0</v>
      </c>
      <c r="L58" s="247">
        <f t="shared" si="7"/>
        <v>-5499891.4300000006</v>
      </c>
      <c r="M58" s="248">
        <f t="shared" si="2"/>
        <v>-1</v>
      </c>
      <c r="N58" s="246"/>
      <c r="O58" s="311">
        <v>8388233.6900000004</v>
      </c>
      <c r="P58" s="246">
        <f>P59+P66+P103+P129+P139</f>
        <v>0</v>
      </c>
      <c r="Q58" s="247">
        <f>P58-O58</f>
        <v>-8388233.6900000004</v>
      </c>
      <c r="R58" s="248">
        <f t="shared" si="4"/>
        <v>-1</v>
      </c>
      <c r="S58" s="246"/>
      <c r="T58" s="246">
        <v>11390837.220000001</v>
      </c>
      <c r="U58" s="246">
        <f>U59+U66+U103+U129+U139</f>
        <v>0</v>
      </c>
      <c r="V58" s="247">
        <f>U58-T58</f>
        <v>-11390837.220000001</v>
      </c>
      <c r="W58" s="248">
        <f t="shared" si="6"/>
        <v>-1</v>
      </c>
      <c r="X58" s="246"/>
    </row>
    <row r="59" spans="1:24" s="2" customFormat="1" ht="46.5" customHeight="1" x14ac:dyDescent="0.2">
      <c r="A59" s="99">
        <v>2100</v>
      </c>
      <c r="B59" s="151" t="s">
        <v>103</v>
      </c>
      <c r="C59" s="147">
        <v>9316.369999999999</v>
      </c>
      <c r="D59" s="312">
        <v>11228.41</v>
      </c>
      <c r="E59" s="312">
        <v>4712.3999999999996</v>
      </c>
      <c r="F59" s="147">
        <f>F60+F63</f>
        <v>0</v>
      </c>
      <c r="G59" s="148">
        <f>F59-E59</f>
        <v>-4712.3999999999996</v>
      </c>
      <c r="H59" s="149">
        <f t="shared" si="1"/>
        <v>-1</v>
      </c>
      <c r="I59" s="158"/>
      <c r="J59" s="312">
        <v>6002.94</v>
      </c>
      <c r="K59" s="147">
        <f>K60+K63</f>
        <v>0</v>
      </c>
      <c r="L59" s="148">
        <f>K59-J59</f>
        <v>-6002.94</v>
      </c>
      <c r="M59" s="149">
        <f>IFERROR(L59/ABS(J59), "-")</f>
        <v>-1</v>
      </c>
      <c r="N59" s="158"/>
      <c r="O59" s="312">
        <v>8861.83</v>
      </c>
      <c r="P59" s="147">
        <f>P60+P63</f>
        <v>0</v>
      </c>
      <c r="Q59" s="148">
        <f>P59-O59</f>
        <v>-8861.83</v>
      </c>
      <c r="R59" s="149">
        <f t="shared" si="4"/>
        <v>-1</v>
      </c>
      <c r="S59" s="158"/>
      <c r="T59" s="147">
        <v>11228.41</v>
      </c>
      <c r="U59" s="147">
        <f>U60+U63</f>
        <v>0</v>
      </c>
      <c r="V59" s="148">
        <f t="shared" si="5"/>
        <v>-11228.41</v>
      </c>
      <c r="W59" s="149">
        <f t="shared" si="6"/>
        <v>-1</v>
      </c>
      <c r="X59" s="158"/>
    </row>
    <row r="60" spans="1:24" s="251" customFormat="1" ht="46.5" customHeight="1" x14ac:dyDescent="0.2">
      <c r="A60" s="131">
        <v>2110</v>
      </c>
      <c r="B60" s="120" t="s">
        <v>104</v>
      </c>
      <c r="C60" s="254">
        <v>1866.6100000000001</v>
      </c>
      <c r="D60" s="318">
        <v>1866.6100000000001</v>
      </c>
      <c r="E60" s="318">
        <v>0</v>
      </c>
      <c r="F60" s="254">
        <f>F61+F62</f>
        <v>0</v>
      </c>
      <c r="G60" s="254">
        <f t="shared" ref="G60:I60" si="16">G61+G62</f>
        <v>0</v>
      </c>
      <c r="H60" s="254">
        <f t="shared" si="16"/>
        <v>0</v>
      </c>
      <c r="I60" s="254">
        <f t="shared" si="16"/>
        <v>0</v>
      </c>
      <c r="J60" s="318">
        <v>180</v>
      </c>
      <c r="K60" s="254">
        <f>K61+K62</f>
        <v>0</v>
      </c>
      <c r="L60" s="129">
        <f t="shared" ref="L60:L65" si="17">K60-J60</f>
        <v>-180</v>
      </c>
      <c r="M60" s="130">
        <f t="shared" ref="M60:M65" si="18">IFERROR(L60/ABS(J60), "-")</f>
        <v>-1</v>
      </c>
      <c r="N60" s="254">
        <f t="shared" ref="N60" si="19">N61+N62</f>
        <v>0</v>
      </c>
      <c r="O60" s="318">
        <v>180</v>
      </c>
      <c r="P60" s="254">
        <f t="shared" ref="P60" si="20">P61+P62</f>
        <v>0</v>
      </c>
      <c r="Q60" s="129">
        <f t="shared" ref="Q60:Q65" si="21">P60-O60</f>
        <v>-180</v>
      </c>
      <c r="R60" s="130">
        <f t="shared" si="4"/>
        <v>-1</v>
      </c>
      <c r="S60" s="254">
        <f t="shared" ref="S60" si="22">S61+S62</f>
        <v>0</v>
      </c>
      <c r="T60" s="254">
        <v>1866.6100000000001</v>
      </c>
      <c r="U60" s="254">
        <f t="shared" ref="U60" si="23">U61+U62</f>
        <v>0</v>
      </c>
      <c r="V60" s="122">
        <f t="shared" si="5"/>
        <v>-1866.6100000000001</v>
      </c>
      <c r="W60" s="123">
        <f t="shared" si="6"/>
        <v>-1</v>
      </c>
      <c r="X60" s="254">
        <f t="shared" ref="X60" si="24">X61+X62</f>
        <v>0</v>
      </c>
    </row>
    <row r="61" spans="1:24" s="251" customFormat="1" ht="46.5" customHeight="1" x14ac:dyDescent="0.2">
      <c r="A61" s="250">
        <v>2111</v>
      </c>
      <c r="B61" s="58" t="s">
        <v>105</v>
      </c>
      <c r="C61" s="254">
        <v>0</v>
      </c>
      <c r="D61" s="318">
        <v>0</v>
      </c>
      <c r="E61" s="318">
        <v>0</v>
      </c>
      <c r="F61" s="254"/>
      <c r="G61" s="122"/>
      <c r="H61" s="123"/>
      <c r="I61" s="155"/>
      <c r="J61" s="318">
        <v>0</v>
      </c>
      <c r="K61" s="254"/>
      <c r="L61" s="129">
        <f t="shared" si="17"/>
        <v>0</v>
      </c>
      <c r="M61" s="130" t="str">
        <f t="shared" si="18"/>
        <v>-</v>
      </c>
      <c r="N61" s="155"/>
      <c r="O61" s="318">
        <v>0</v>
      </c>
      <c r="P61" s="254"/>
      <c r="Q61" s="129">
        <f t="shared" si="21"/>
        <v>0</v>
      </c>
      <c r="R61" s="130" t="str">
        <f t="shared" si="4"/>
        <v>-</v>
      </c>
      <c r="S61" s="155"/>
      <c r="T61" s="254">
        <v>0</v>
      </c>
      <c r="U61" s="254"/>
      <c r="V61" s="122">
        <f t="shared" si="5"/>
        <v>0</v>
      </c>
      <c r="W61" s="123" t="str">
        <f t="shared" si="6"/>
        <v>-</v>
      </c>
      <c r="X61" s="155"/>
    </row>
    <row r="62" spans="1:24" s="251" customFormat="1" ht="46.5" customHeight="1" x14ac:dyDescent="0.2">
      <c r="A62" s="250">
        <v>2112</v>
      </c>
      <c r="B62" s="58" t="s">
        <v>106</v>
      </c>
      <c r="C62" s="254">
        <v>1866.6100000000001</v>
      </c>
      <c r="D62" s="318">
        <v>1866.6100000000001</v>
      </c>
      <c r="E62" s="318">
        <v>0</v>
      </c>
      <c r="F62" s="254">
        <v>0</v>
      </c>
      <c r="G62" s="122"/>
      <c r="H62" s="123"/>
      <c r="I62" s="155"/>
      <c r="J62" s="318">
        <v>180</v>
      </c>
      <c r="K62" s="254">
        <v>0</v>
      </c>
      <c r="L62" s="129">
        <f t="shared" si="17"/>
        <v>-180</v>
      </c>
      <c r="M62" s="130">
        <f t="shared" si="18"/>
        <v>-1</v>
      </c>
      <c r="N62" s="155"/>
      <c r="O62" s="318">
        <v>180</v>
      </c>
      <c r="P62" s="254"/>
      <c r="Q62" s="129">
        <f t="shared" si="21"/>
        <v>-180</v>
      </c>
      <c r="R62" s="130">
        <f t="shared" si="4"/>
        <v>-1</v>
      </c>
      <c r="S62" s="155"/>
      <c r="T62" s="254">
        <v>1866.6100000000001</v>
      </c>
      <c r="U62" s="254"/>
      <c r="V62" s="122">
        <f t="shared" si="5"/>
        <v>-1866.6100000000001</v>
      </c>
      <c r="W62" s="123">
        <f t="shared" si="6"/>
        <v>-1</v>
      </c>
      <c r="X62" s="155"/>
    </row>
    <row r="63" spans="1:24" s="251" customFormat="1" ht="46.5" customHeight="1" x14ac:dyDescent="0.2">
      <c r="A63" s="131">
        <v>2120</v>
      </c>
      <c r="B63" s="120" t="s">
        <v>107</v>
      </c>
      <c r="C63" s="254">
        <v>7449.76</v>
      </c>
      <c r="D63" s="318">
        <v>9361.7999999999993</v>
      </c>
      <c r="E63" s="318">
        <v>4712.3999999999996</v>
      </c>
      <c r="F63" s="254">
        <f t="shared" ref="F63:I63" si="25">F64+F65</f>
        <v>0</v>
      </c>
      <c r="G63" s="254">
        <f t="shared" si="25"/>
        <v>0</v>
      </c>
      <c r="H63" s="254">
        <f t="shared" si="25"/>
        <v>0</v>
      </c>
      <c r="I63" s="254">
        <f t="shared" si="25"/>
        <v>0</v>
      </c>
      <c r="J63" s="318">
        <v>5822.94</v>
      </c>
      <c r="K63" s="254">
        <f t="shared" ref="K63" si="26">K64+K65</f>
        <v>0</v>
      </c>
      <c r="L63" s="129">
        <f t="shared" si="17"/>
        <v>-5822.94</v>
      </c>
      <c r="M63" s="130">
        <f t="shared" si="18"/>
        <v>-1</v>
      </c>
      <c r="N63" s="254">
        <f t="shared" ref="N63" si="27">N64+N65</f>
        <v>0</v>
      </c>
      <c r="O63" s="318">
        <v>8681.83</v>
      </c>
      <c r="P63" s="254">
        <f t="shared" ref="P63" si="28">P64+P65</f>
        <v>0</v>
      </c>
      <c r="Q63" s="129">
        <f t="shared" si="21"/>
        <v>-8681.83</v>
      </c>
      <c r="R63" s="130">
        <f t="shared" si="4"/>
        <v>-1</v>
      </c>
      <c r="S63" s="254">
        <f t="shared" ref="S63" si="29">S64+S65</f>
        <v>0</v>
      </c>
      <c r="T63" s="254">
        <v>9361.7999999999993</v>
      </c>
      <c r="U63" s="254">
        <f t="shared" ref="U63" si="30">U64+U65</f>
        <v>0</v>
      </c>
      <c r="V63" s="122">
        <f t="shared" si="5"/>
        <v>-9361.7999999999993</v>
      </c>
      <c r="W63" s="123">
        <f t="shared" si="6"/>
        <v>-1</v>
      </c>
      <c r="X63" s="254">
        <f t="shared" ref="X63" si="31">X64+X65</f>
        <v>0</v>
      </c>
    </row>
    <row r="64" spans="1:24" s="251" customFormat="1" ht="46.5" customHeight="1" x14ac:dyDescent="0.2">
      <c r="A64" s="250">
        <v>2121</v>
      </c>
      <c r="B64" s="58" t="s">
        <v>105</v>
      </c>
      <c r="C64" s="254">
        <v>240</v>
      </c>
      <c r="D64" s="318">
        <v>240</v>
      </c>
      <c r="E64" s="318">
        <v>0</v>
      </c>
      <c r="F64" s="254"/>
      <c r="G64" s="122"/>
      <c r="H64" s="123"/>
      <c r="I64" s="155"/>
      <c r="J64" s="318">
        <v>0</v>
      </c>
      <c r="K64" s="254"/>
      <c r="L64" s="129">
        <f t="shared" si="17"/>
        <v>0</v>
      </c>
      <c r="M64" s="130" t="str">
        <f t="shared" si="18"/>
        <v>-</v>
      </c>
      <c r="N64" s="155"/>
      <c r="O64" s="318">
        <v>240</v>
      </c>
      <c r="P64" s="254"/>
      <c r="Q64" s="129">
        <f t="shared" si="21"/>
        <v>-240</v>
      </c>
      <c r="R64" s="130">
        <f t="shared" si="4"/>
        <v>-1</v>
      </c>
      <c r="S64" s="155"/>
      <c r="T64" s="254">
        <v>240</v>
      </c>
      <c r="U64" s="254"/>
      <c r="V64" s="122">
        <f t="shared" si="5"/>
        <v>-240</v>
      </c>
      <c r="W64" s="123">
        <f t="shared" si="6"/>
        <v>-1</v>
      </c>
      <c r="X64" s="155"/>
    </row>
    <row r="65" spans="1:24" s="251" customFormat="1" ht="46.5" customHeight="1" x14ac:dyDescent="0.2">
      <c r="A65" s="250">
        <v>2122</v>
      </c>
      <c r="B65" s="58" t="s">
        <v>106</v>
      </c>
      <c r="C65" s="254">
        <v>7209.76</v>
      </c>
      <c r="D65" s="318">
        <v>9121.7999999999993</v>
      </c>
      <c r="E65" s="318">
        <v>4712.3999999999996</v>
      </c>
      <c r="F65" s="254"/>
      <c r="G65" s="122"/>
      <c r="H65" s="123"/>
      <c r="I65" s="155"/>
      <c r="J65" s="318">
        <v>5822.94</v>
      </c>
      <c r="K65" s="254"/>
      <c r="L65" s="129">
        <f t="shared" si="17"/>
        <v>-5822.94</v>
      </c>
      <c r="M65" s="130">
        <f t="shared" si="18"/>
        <v>-1</v>
      </c>
      <c r="N65" s="155"/>
      <c r="O65" s="318">
        <v>8441.83</v>
      </c>
      <c r="P65" s="254"/>
      <c r="Q65" s="129">
        <f t="shared" si="21"/>
        <v>-8441.83</v>
      </c>
      <c r="R65" s="130">
        <f t="shared" si="4"/>
        <v>-1</v>
      </c>
      <c r="S65" s="155"/>
      <c r="T65" s="254">
        <v>9121.7999999999993</v>
      </c>
      <c r="U65" s="254"/>
      <c r="V65" s="122">
        <f t="shared" si="5"/>
        <v>-9121.7999999999993</v>
      </c>
      <c r="W65" s="123">
        <f t="shared" si="6"/>
        <v>-1</v>
      </c>
      <c r="X65" s="155"/>
    </row>
    <row r="66" spans="1:24" s="2" customFormat="1" ht="46.5" customHeight="1" x14ac:dyDescent="0.2">
      <c r="A66" s="99">
        <v>2200</v>
      </c>
      <c r="B66" s="153" t="s">
        <v>108</v>
      </c>
      <c r="C66" s="312">
        <v>1974496.38</v>
      </c>
      <c r="D66" s="312">
        <v>1919064.52</v>
      </c>
      <c r="E66" s="312">
        <v>462017.12</v>
      </c>
      <c r="F66" s="312">
        <f>F67+F68+F74+F82+F89+F90+F96+F102</f>
        <v>0</v>
      </c>
      <c r="G66" s="148">
        <f t="shared" si="0"/>
        <v>-462017.12</v>
      </c>
      <c r="H66" s="149">
        <f t="shared" si="1"/>
        <v>-1</v>
      </c>
      <c r="I66" s="158"/>
      <c r="J66" s="312">
        <v>900122.06</v>
      </c>
      <c r="K66" s="312">
        <f>K67+K68+K74+K82+K89+K90+K96+K102</f>
        <v>0</v>
      </c>
      <c r="L66" s="148">
        <f t="shared" si="7"/>
        <v>-900122.06</v>
      </c>
      <c r="M66" s="149">
        <f t="shared" si="2"/>
        <v>-1</v>
      </c>
      <c r="N66" s="158"/>
      <c r="O66" s="312">
        <v>1382473.52</v>
      </c>
      <c r="P66" s="312">
        <f>P67+P68+P74+P82+P89+P90+P96+P102</f>
        <v>0</v>
      </c>
      <c r="Q66" s="148">
        <f t="shared" si="3"/>
        <v>-1382473.52</v>
      </c>
      <c r="R66" s="149">
        <f t="shared" si="4"/>
        <v>-1</v>
      </c>
      <c r="S66" s="158"/>
      <c r="T66" s="312">
        <v>1919064.52</v>
      </c>
      <c r="U66" s="312">
        <f>U67+U68+U74+U82+U89+U90+U96+U102</f>
        <v>0</v>
      </c>
      <c r="V66" s="148">
        <f t="shared" si="5"/>
        <v>-1919064.52</v>
      </c>
      <c r="W66" s="149">
        <f t="shared" si="6"/>
        <v>-1</v>
      </c>
      <c r="X66" s="158"/>
    </row>
    <row r="67" spans="1:24" s="251" customFormat="1" ht="46.5" customHeight="1" x14ac:dyDescent="0.2">
      <c r="A67" s="131">
        <v>2210</v>
      </c>
      <c r="B67" s="140" t="s">
        <v>109</v>
      </c>
      <c r="C67" s="315">
        <v>11946.06</v>
      </c>
      <c r="D67" s="315">
        <v>12305.16</v>
      </c>
      <c r="E67" s="315">
        <v>3679.8100000000004</v>
      </c>
      <c r="F67" s="315"/>
      <c r="G67" s="122">
        <f t="shared" si="0"/>
        <v>-3679.8100000000004</v>
      </c>
      <c r="H67" s="123">
        <f t="shared" si="1"/>
        <v>-1</v>
      </c>
      <c r="I67" s="256"/>
      <c r="J67" s="315">
        <v>6343.91</v>
      </c>
      <c r="K67" s="315"/>
      <c r="L67" s="122">
        <f t="shared" si="7"/>
        <v>-6343.91</v>
      </c>
      <c r="M67" s="123">
        <f t="shared" si="2"/>
        <v>-1</v>
      </c>
      <c r="N67" s="256"/>
      <c r="O67" s="315">
        <v>9261.33</v>
      </c>
      <c r="P67" s="315"/>
      <c r="Q67" s="122">
        <f t="shared" si="3"/>
        <v>-9261.33</v>
      </c>
      <c r="R67" s="123">
        <f t="shared" si="4"/>
        <v>-1</v>
      </c>
      <c r="S67" s="256"/>
      <c r="T67" s="315">
        <v>12305.16</v>
      </c>
      <c r="U67" s="315"/>
      <c r="V67" s="122">
        <f t="shared" si="5"/>
        <v>-12305.16</v>
      </c>
      <c r="W67" s="123">
        <f t="shared" si="6"/>
        <v>-1</v>
      </c>
      <c r="X67" s="256"/>
    </row>
    <row r="68" spans="1:24" s="251" customFormat="1" ht="46.5" customHeight="1" x14ac:dyDescent="0.2">
      <c r="A68" s="131">
        <v>2220</v>
      </c>
      <c r="B68" s="137" t="s">
        <v>110</v>
      </c>
      <c r="C68" s="318">
        <v>628599.46000000008</v>
      </c>
      <c r="D68" s="318">
        <v>601345.81000000006</v>
      </c>
      <c r="E68" s="318">
        <v>198611.04</v>
      </c>
      <c r="F68" s="318">
        <f>SUM(F69:F73)</f>
        <v>0</v>
      </c>
      <c r="G68" s="122">
        <f t="shared" ref="G68:G131" si="32">F68-E68</f>
        <v>-198611.04</v>
      </c>
      <c r="H68" s="123">
        <f t="shared" ref="H68:H131" si="33">IFERROR(G68/ABS(E68), "-")</f>
        <v>-1</v>
      </c>
      <c r="I68" s="747"/>
      <c r="J68" s="318">
        <v>318384.79000000004</v>
      </c>
      <c r="K68" s="318">
        <f>SUM(K69:K73)</f>
        <v>0</v>
      </c>
      <c r="L68" s="122">
        <f t="shared" si="7"/>
        <v>-318384.79000000004</v>
      </c>
      <c r="M68" s="123">
        <f t="shared" si="2"/>
        <v>-1</v>
      </c>
      <c r="N68" s="747"/>
      <c r="O68" s="318">
        <v>424221.35000000003</v>
      </c>
      <c r="P68" s="318">
        <f>SUM(P69:P73)</f>
        <v>0</v>
      </c>
      <c r="Q68" s="122">
        <f t="shared" si="3"/>
        <v>-424221.35000000003</v>
      </c>
      <c r="R68" s="123">
        <f t="shared" si="4"/>
        <v>-1</v>
      </c>
      <c r="S68" s="731"/>
      <c r="T68" s="318">
        <v>601345.81000000006</v>
      </c>
      <c r="U68" s="318">
        <f>SUM(U69:U73)</f>
        <v>0</v>
      </c>
      <c r="V68" s="122">
        <f t="shared" si="5"/>
        <v>-601345.81000000006</v>
      </c>
      <c r="W68" s="123">
        <f t="shared" si="6"/>
        <v>-1</v>
      </c>
      <c r="X68" s="731"/>
    </row>
    <row r="69" spans="1:24" s="2" customFormat="1" ht="46.5" customHeight="1" x14ac:dyDescent="0.2">
      <c r="A69" s="250">
        <v>2221</v>
      </c>
      <c r="B69" s="134" t="s">
        <v>111</v>
      </c>
      <c r="C69" s="114">
        <v>258817.39</v>
      </c>
      <c r="D69" s="313">
        <v>229063.27999999997</v>
      </c>
      <c r="E69" s="313">
        <v>98466.68</v>
      </c>
      <c r="F69" s="313"/>
      <c r="G69" s="115">
        <f t="shared" si="32"/>
        <v>-98466.68</v>
      </c>
      <c r="H69" s="116">
        <f t="shared" si="33"/>
        <v>-1</v>
      </c>
      <c r="I69" s="738"/>
      <c r="J69" s="313">
        <v>137324.24</v>
      </c>
      <c r="K69" s="313"/>
      <c r="L69" s="115">
        <f t="shared" si="7"/>
        <v>-137324.24</v>
      </c>
      <c r="M69" s="116">
        <f t="shared" si="2"/>
        <v>-1</v>
      </c>
      <c r="N69" s="738"/>
      <c r="O69" s="313">
        <v>150408.64999999997</v>
      </c>
      <c r="P69" s="313"/>
      <c r="Q69" s="115">
        <f t="shared" si="3"/>
        <v>-150408.64999999997</v>
      </c>
      <c r="R69" s="116">
        <f t="shared" si="4"/>
        <v>-1</v>
      </c>
      <c r="S69" s="732"/>
      <c r="T69" s="313">
        <v>229063.27999999997</v>
      </c>
      <c r="U69" s="313"/>
      <c r="V69" s="115">
        <f t="shared" si="5"/>
        <v>-229063.27999999997</v>
      </c>
      <c r="W69" s="116">
        <f t="shared" si="6"/>
        <v>-1</v>
      </c>
      <c r="X69" s="732"/>
    </row>
    <row r="70" spans="1:24" s="3" customFormat="1" ht="46.5" customHeight="1" x14ac:dyDescent="0.2">
      <c r="A70" s="250">
        <v>2222</v>
      </c>
      <c r="B70" s="134" t="s">
        <v>112</v>
      </c>
      <c r="C70" s="114">
        <v>45252.990000000005</v>
      </c>
      <c r="D70" s="313">
        <v>45091.210000000006</v>
      </c>
      <c r="E70" s="313">
        <v>10522.63</v>
      </c>
      <c r="F70" s="114"/>
      <c r="G70" s="115">
        <f t="shared" si="32"/>
        <v>-10522.63</v>
      </c>
      <c r="H70" s="116">
        <f t="shared" si="33"/>
        <v>-1</v>
      </c>
      <c r="I70" s="738"/>
      <c r="J70" s="313">
        <v>22010.5</v>
      </c>
      <c r="K70" s="114"/>
      <c r="L70" s="115">
        <f t="shared" ref="L70:L134" si="34">K70-J70</f>
        <v>-22010.5</v>
      </c>
      <c r="M70" s="116">
        <f t="shared" ref="M70:M134" si="35">IFERROR(L70/ABS(J70), "-")</f>
        <v>-1</v>
      </c>
      <c r="N70" s="738"/>
      <c r="O70" s="313">
        <v>34462.69</v>
      </c>
      <c r="P70" s="114"/>
      <c r="Q70" s="115">
        <f t="shared" ref="Q70:Q134" si="36">P70-O70</f>
        <v>-34462.69</v>
      </c>
      <c r="R70" s="116">
        <f t="shared" ref="R70:R134" si="37">IFERROR(Q70/ABS(O70), "-")</f>
        <v>-1</v>
      </c>
      <c r="S70" s="732"/>
      <c r="T70" s="313">
        <v>45091.210000000006</v>
      </c>
      <c r="U70" s="114"/>
      <c r="V70" s="115">
        <f t="shared" ref="V70:V134" si="38">U70-T70</f>
        <v>-45091.210000000006</v>
      </c>
      <c r="W70" s="116">
        <f t="shared" ref="W70:W134" si="39">IFERROR(V70/ABS(T70), "-")</f>
        <v>-1</v>
      </c>
      <c r="X70" s="732"/>
    </row>
    <row r="71" spans="1:24" s="2" customFormat="1" ht="46.5" customHeight="1" x14ac:dyDescent="0.2">
      <c r="A71" s="250">
        <v>2223</v>
      </c>
      <c r="B71" s="134" t="s">
        <v>113</v>
      </c>
      <c r="C71" s="114">
        <v>234811.12</v>
      </c>
      <c r="D71" s="313">
        <v>237613.59</v>
      </c>
      <c r="E71" s="313">
        <v>67118.009999999995</v>
      </c>
      <c r="F71" s="114"/>
      <c r="G71" s="115">
        <f t="shared" si="32"/>
        <v>-67118.009999999995</v>
      </c>
      <c r="H71" s="116">
        <f t="shared" si="33"/>
        <v>-1</v>
      </c>
      <c r="I71" s="738"/>
      <c r="J71" s="313">
        <v>115725.24</v>
      </c>
      <c r="K71" s="114"/>
      <c r="L71" s="115">
        <f t="shared" si="34"/>
        <v>-115725.24</v>
      </c>
      <c r="M71" s="116">
        <f t="shared" si="35"/>
        <v>-1</v>
      </c>
      <c r="N71" s="738"/>
      <c r="O71" s="314">
        <v>173337.61</v>
      </c>
      <c r="P71" s="114"/>
      <c r="Q71" s="115">
        <f t="shared" si="36"/>
        <v>-173337.61</v>
      </c>
      <c r="R71" s="116">
        <f t="shared" si="37"/>
        <v>-1</v>
      </c>
      <c r="S71" s="732"/>
      <c r="T71" s="314">
        <v>237613.59</v>
      </c>
      <c r="U71" s="114"/>
      <c r="V71" s="115">
        <f t="shared" si="38"/>
        <v>-237613.59</v>
      </c>
      <c r="W71" s="116">
        <f t="shared" si="39"/>
        <v>-1</v>
      </c>
      <c r="X71" s="732"/>
    </row>
    <row r="72" spans="1:24" s="2" customFormat="1" ht="46.5" customHeight="1" x14ac:dyDescent="0.2">
      <c r="A72" s="250">
        <v>2224</v>
      </c>
      <c r="B72" s="134" t="s">
        <v>114</v>
      </c>
      <c r="C72" s="114">
        <v>89717.960000000021</v>
      </c>
      <c r="D72" s="313">
        <v>89577.73000000001</v>
      </c>
      <c r="E72" s="313">
        <v>22503.72</v>
      </c>
      <c r="F72" s="114"/>
      <c r="G72" s="115">
        <f t="shared" si="32"/>
        <v>-22503.72</v>
      </c>
      <c r="H72" s="116">
        <f t="shared" si="33"/>
        <v>-1</v>
      </c>
      <c r="I72" s="738"/>
      <c r="J72" s="313">
        <v>43324.810000000005</v>
      </c>
      <c r="K72" s="114"/>
      <c r="L72" s="115">
        <f t="shared" si="34"/>
        <v>-43324.810000000005</v>
      </c>
      <c r="M72" s="116">
        <f t="shared" si="35"/>
        <v>-1</v>
      </c>
      <c r="N72" s="738"/>
      <c r="O72" s="313">
        <v>66012.400000000009</v>
      </c>
      <c r="P72" s="114"/>
      <c r="Q72" s="115">
        <f t="shared" si="36"/>
        <v>-66012.400000000009</v>
      </c>
      <c r="R72" s="116">
        <f t="shared" si="37"/>
        <v>-1</v>
      </c>
      <c r="S72" s="732"/>
      <c r="T72" s="313">
        <v>89577.73000000001</v>
      </c>
      <c r="U72" s="114"/>
      <c r="V72" s="115">
        <f t="shared" si="38"/>
        <v>-89577.73000000001</v>
      </c>
      <c r="W72" s="116">
        <f t="shared" si="39"/>
        <v>-1</v>
      </c>
      <c r="X72" s="732"/>
    </row>
    <row r="73" spans="1:24" s="2" customFormat="1" ht="46.5" customHeight="1" x14ac:dyDescent="0.2">
      <c r="A73" s="250">
        <v>2229</v>
      </c>
      <c r="B73" s="134" t="s">
        <v>115</v>
      </c>
      <c r="C73" s="114">
        <v>0</v>
      </c>
      <c r="D73" s="313">
        <v>0</v>
      </c>
      <c r="E73" s="313">
        <v>0</v>
      </c>
      <c r="F73" s="114"/>
      <c r="G73" s="115">
        <f t="shared" si="32"/>
        <v>0</v>
      </c>
      <c r="H73" s="116" t="str">
        <f t="shared" si="33"/>
        <v>-</v>
      </c>
      <c r="I73" s="739"/>
      <c r="J73" s="313">
        <v>0</v>
      </c>
      <c r="K73" s="114"/>
      <c r="L73" s="115">
        <f t="shared" si="34"/>
        <v>0</v>
      </c>
      <c r="M73" s="116" t="str">
        <f t="shared" si="35"/>
        <v>-</v>
      </c>
      <c r="N73" s="739"/>
      <c r="O73" s="313">
        <v>0</v>
      </c>
      <c r="P73" s="114"/>
      <c r="Q73" s="115">
        <f t="shared" si="36"/>
        <v>0</v>
      </c>
      <c r="R73" s="116" t="str">
        <f t="shared" si="37"/>
        <v>-</v>
      </c>
      <c r="S73" s="733"/>
      <c r="T73" s="313">
        <v>0</v>
      </c>
      <c r="U73" s="114"/>
      <c r="V73" s="115">
        <f t="shared" si="38"/>
        <v>0</v>
      </c>
      <c r="W73" s="116" t="str">
        <f t="shared" si="39"/>
        <v>-</v>
      </c>
      <c r="X73" s="733"/>
    </row>
    <row r="74" spans="1:24" s="251" customFormat="1" ht="46.5" customHeight="1" x14ac:dyDescent="0.2">
      <c r="A74" s="131">
        <v>2230</v>
      </c>
      <c r="B74" s="137" t="s">
        <v>116</v>
      </c>
      <c r="C74" s="244">
        <v>575810</v>
      </c>
      <c r="D74" s="318">
        <v>565854.69999999995</v>
      </c>
      <c r="E74" s="318">
        <v>128571.18</v>
      </c>
      <c r="F74" s="318">
        <f>SUM(F75:F81)</f>
        <v>0</v>
      </c>
      <c r="G74" s="122">
        <f t="shared" si="32"/>
        <v>-128571.18</v>
      </c>
      <c r="H74" s="123">
        <f t="shared" si="33"/>
        <v>-1</v>
      </c>
      <c r="I74" s="737"/>
      <c r="J74" s="318">
        <v>264330.96000000002</v>
      </c>
      <c r="K74" s="318">
        <f>SUM(K75:K81)</f>
        <v>0</v>
      </c>
      <c r="L74" s="122">
        <f t="shared" si="34"/>
        <v>-264330.96000000002</v>
      </c>
      <c r="M74" s="123">
        <f t="shared" si="35"/>
        <v>-1</v>
      </c>
      <c r="N74" s="737"/>
      <c r="O74" s="318">
        <v>414139.71</v>
      </c>
      <c r="P74" s="318">
        <f>SUM(P75:P81)</f>
        <v>0</v>
      </c>
      <c r="Q74" s="122">
        <f t="shared" si="36"/>
        <v>-414139.71</v>
      </c>
      <c r="R74" s="123">
        <f t="shared" si="37"/>
        <v>-1</v>
      </c>
      <c r="S74" s="731"/>
      <c r="T74" s="318">
        <v>565854.69999999995</v>
      </c>
      <c r="U74" s="318">
        <f>SUM(U75:U81)</f>
        <v>0</v>
      </c>
      <c r="V74" s="122">
        <f t="shared" si="38"/>
        <v>-565854.69999999995</v>
      </c>
      <c r="W74" s="123">
        <f t="shared" si="39"/>
        <v>-1</v>
      </c>
      <c r="X74" s="731"/>
    </row>
    <row r="75" spans="1:24" s="3" customFormat="1" ht="46.5" customHeight="1" x14ac:dyDescent="0.2">
      <c r="A75" s="250">
        <v>2231</v>
      </c>
      <c r="B75" s="134" t="s">
        <v>117</v>
      </c>
      <c r="C75" s="114">
        <v>0</v>
      </c>
      <c r="D75" s="313">
        <v>0</v>
      </c>
      <c r="E75" s="313">
        <v>0</v>
      </c>
      <c r="F75" s="313"/>
      <c r="G75" s="115">
        <f t="shared" si="32"/>
        <v>0</v>
      </c>
      <c r="H75" s="116" t="str">
        <f t="shared" si="33"/>
        <v>-</v>
      </c>
      <c r="I75" s="738"/>
      <c r="J75" s="313">
        <v>0</v>
      </c>
      <c r="K75" s="313"/>
      <c r="L75" s="115">
        <f t="shared" si="34"/>
        <v>0</v>
      </c>
      <c r="M75" s="116" t="str">
        <f t="shared" si="35"/>
        <v>-</v>
      </c>
      <c r="N75" s="738"/>
      <c r="O75" s="313">
        <v>0</v>
      </c>
      <c r="P75" s="313"/>
      <c r="Q75" s="115">
        <f t="shared" si="36"/>
        <v>0</v>
      </c>
      <c r="R75" s="116" t="str">
        <f t="shared" si="37"/>
        <v>-</v>
      </c>
      <c r="S75" s="732"/>
      <c r="T75" s="313">
        <v>0</v>
      </c>
      <c r="U75" s="313"/>
      <c r="V75" s="115">
        <f t="shared" si="38"/>
        <v>0</v>
      </c>
      <c r="W75" s="116" t="str">
        <f t="shared" si="39"/>
        <v>-</v>
      </c>
      <c r="X75" s="732"/>
    </row>
    <row r="76" spans="1:24" s="2" customFormat="1" ht="46.5" customHeight="1" x14ac:dyDescent="0.2">
      <c r="A76" s="250">
        <v>2232</v>
      </c>
      <c r="B76" s="134" t="s">
        <v>118</v>
      </c>
      <c r="C76" s="114">
        <v>0</v>
      </c>
      <c r="D76" s="313">
        <v>0</v>
      </c>
      <c r="E76" s="313">
        <v>0</v>
      </c>
      <c r="F76" s="313"/>
      <c r="G76" s="115">
        <f t="shared" si="32"/>
        <v>0</v>
      </c>
      <c r="H76" s="116" t="str">
        <f t="shared" si="33"/>
        <v>-</v>
      </c>
      <c r="I76" s="738"/>
      <c r="J76" s="313">
        <v>0</v>
      </c>
      <c r="K76" s="313"/>
      <c r="L76" s="115">
        <f t="shared" si="34"/>
        <v>0</v>
      </c>
      <c r="M76" s="116" t="str">
        <f t="shared" si="35"/>
        <v>-</v>
      </c>
      <c r="N76" s="738"/>
      <c r="O76" s="313">
        <v>0</v>
      </c>
      <c r="P76" s="313"/>
      <c r="Q76" s="115">
        <f t="shared" si="36"/>
        <v>0</v>
      </c>
      <c r="R76" s="116" t="str">
        <f t="shared" si="37"/>
        <v>-</v>
      </c>
      <c r="S76" s="732"/>
      <c r="T76" s="313">
        <v>0</v>
      </c>
      <c r="U76" s="313"/>
      <c r="V76" s="115">
        <f t="shared" si="38"/>
        <v>0</v>
      </c>
      <c r="W76" s="116" t="str">
        <f t="shared" si="39"/>
        <v>-</v>
      </c>
      <c r="X76" s="732"/>
    </row>
    <row r="77" spans="1:24" s="2" customFormat="1" ht="46.5" customHeight="1" x14ac:dyDescent="0.2">
      <c r="A77" s="250">
        <v>2233</v>
      </c>
      <c r="B77" s="134" t="s">
        <v>119</v>
      </c>
      <c r="C77" s="114">
        <v>23785.559999999998</v>
      </c>
      <c r="D77" s="313">
        <v>20553.18</v>
      </c>
      <c r="E77" s="313">
        <v>5200.79</v>
      </c>
      <c r="F77" s="313"/>
      <c r="G77" s="115">
        <f t="shared" si="32"/>
        <v>-5200.79</v>
      </c>
      <c r="H77" s="116">
        <f t="shared" si="33"/>
        <v>-1</v>
      </c>
      <c r="I77" s="738"/>
      <c r="J77" s="313">
        <v>9147.9</v>
      </c>
      <c r="K77" s="313"/>
      <c r="L77" s="115">
        <f t="shared" si="34"/>
        <v>-9147.9</v>
      </c>
      <c r="M77" s="116">
        <f t="shared" si="35"/>
        <v>-1</v>
      </c>
      <c r="N77" s="738"/>
      <c r="O77" s="313">
        <v>16483.02</v>
      </c>
      <c r="P77" s="313"/>
      <c r="Q77" s="115">
        <f t="shared" si="36"/>
        <v>-16483.02</v>
      </c>
      <c r="R77" s="116">
        <f t="shared" si="37"/>
        <v>-1</v>
      </c>
      <c r="S77" s="732"/>
      <c r="T77" s="313">
        <v>20553.18</v>
      </c>
      <c r="U77" s="313"/>
      <c r="V77" s="115">
        <f t="shared" si="38"/>
        <v>-20553.18</v>
      </c>
      <c r="W77" s="116">
        <f t="shared" si="39"/>
        <v>-1</v>
      </c>
      <c r="X77" s="732"/>
    </row>
    <row r="78" spans="1:24" s="2" customFormat="1" ht="46.5" customHeight="1" x14ac:dyDescent="0.2">
      <c r="A78" s="250">
        <v>2234</v>
      </c>
      <c r="B78" s="134" t="s">
        <v>120</v>
      </c>
      <c r="C78" s="114">
        <v>0</v>
      </c>
      <c r="D78" s="313">
        <v>0</v>
      </c>
      <c r="E78" s="313">
        <v>0</v>
      </c>
      <c r="F78" s="313"/>
      <c r="G78" s="115">
        <f t="shared" si="32"/>
        <v>0</v>
      </c>
      <c r="H78" s="116" t="str">
        <f t="shared" si="33"/>
        <v>-</v>
      </c>
      <c r="I78" s="738"/>
      <c r="J78" s="313">
        <v>0</v>
      </c>
      <c r="K78" s="313"/>
      <c r="L78" s="115">
        <f t="shared" si="34"/>
        <v>0</v>
      </c>
      <c r="M78" s="116" t="str">
        <f t="shared" si="35"/>
        <v>-</v>
      </c>
      <c r="N78" s="738"/>
      <c r="O78" s="313">
        <v>0</v>
      </c>
      <c r="P78" s="313"/>
      <c r="Q78" s="115">
        <f t="shared" si="36"/>
        <v>0</v>
      </c>
      <c r="R78" s="116" t="str">
        <f t="shared" si="37"/>
        <v>-</v>
      </c>
      <c r="S78" s="732"/>
      <c r="T78" s="313">
        <v>0</v>
      </c>
      <c r="U78" s="313"/>
      <c r="V78" s="115">
        <f t="shared" si="38"/>
        <v>0</v>
      </c>
      <c r="W78" s="116" t="str">
        <f t="shared" si="39"/>
        <v>-</v>
      </c>
      <c r="X78" s="732"/>
    </row>
    <row r="79" spans="1:24" s="2" customFormat="1" ht="46.5" customHeight="1" x14ac:dyDescent="0.2">
      <c r="A79" s="250">
        <v>2235</v>
      </c>
      <c r="B79" s="134" t="s">
        <v>121</v>
      </c>
      <c r="C79" s="114">
        <v>10525.289999999999</v>
      </c>
      <c r="D79" s="313">
        <v>9341.7900000000009</v>
      </c>
      <c r="E79" s="313">
        <v>2470.3000000000002</v>
      </c>
      <c r="F79" s="313"/>
      <c r="G79" s="115">
        <f t="shared" si="32"/>
        <v>-2470.3000000000002</v>
      </c>
      <c r="H79" s="116">
        <f t="shared" si="33"/>
        <v>-1</v>
      </c>
      <c r="I79" s="738"/>
      <c r="J79" s="313">
        <v>4665.05</v>
      </c>
      <c r="K79" s="313"/>
      <c r="L79" s="115">
        <f t="shared" si="34"/>
        <v>-4665.05</v>
      </c>
      <c r="M79" s="116">
        <f t="shared" si="35"/>
        <v>-1</v>
      </c>
      <c r="N79" s="738"/>
      <c r="O79" s="314">
        <v>7302.05</v>
      </c>
      <c r="P79" s="313"/>
      <c r="Q79" s="115">
        <f t="shared" si="36"/>
        <v>-7302.05</v>
      </c>
      <c r="R79" s="116">
        <f t="shared" si="37"/>
        <v>-1</v>
      </c>
      <c r="S79" s="732"/>
      <c r="T79" s="314">
        <v>9341.7900000000009</v>
      </c>
      <c r="U79" s="313"/>
      <c r="V79" s="115">
        <f t="shared" si="38"/>
        <v>-9341.7900000000009</v>
      </c>
      <c r="W79" s="116">
        <f t="shared" si="39"/>
        <v>-1</v>
      </c>
      <c r="X79" s="732"/>
    </row>
    <row r="80" spans="1:24" s="2" customFormat="1" ht="46.5" customHeight="1" x14ac:dyDescent="0.2">
      <c r="A80" s="250">
        <v>2236</v>
      </c>
      <c r="B80" s="134" t="s">
        <v>122</v>
      </c>
      <c r="C80" s="114">
        <v>8307.83</v>
      </c>
      <c r="D80" s="313">
        <v>8411.31</v>
      </c>
      <c r="E80" s="313">
        <v>2310.44</v>
      </c>
      <c r="F80" s="313"/>
      <c r="G80" s="115">
        <f t="shared" si="32"/>
        <v>-2310.44</v>
      </c>
      <c r="H80" s="116">
        <f t="shared" si="33"/>
        <v>-1</v>
      </c>
      <c r="I80" s="738"/>
      <c r="J80" s="313">
        <v>4317.4699999999993</v>
      </c>
      <c r="K80" s="313"/>
      <c r="L80" s="115">
        <f t="shared" si="34"/>
        <v>-4317.4699999999993</v>
      </c>
      <c r="M80" s="116">
        <f t="shared" si="35"/>
        <v>-1</v>
      </c>
      <c r="N80" s="738"/>
      <c r="O80" s="313">
        <v>6284.329999999999</v>
      </c>
      <c r="P80" s="313"/>
      <c r="Q80" s="115">
        <f t="shared" si="36"/>
        <v>-6284.329999999999</v>
      </c>
      <c r="R80" s="116">
        <f t="shared" si="37"/>
        <v>-1</v>
      </c>
      <c r="S80" s="732"/>
      <c r="T80" s="313">
        <v>8411.31</v>
      </c>
      <c r="U80" s="313"/>
      <c r="V80" s="115">
        <f t="shared" si="38"/>
        <v>-8411.31</v>
      </c>
      <c r="W80" s="116">
        <f t="shared" si="39"/>
        <v>-1</v>
      </c>
      <c r="X80" s="732"/>
    </row>
    <row r="81" spans="1:24" s="2" customFormat="1" ht="46.5" customHeight="1" x14ac:dyDescent="0.2">
      <c r="A81" s="250">
        <v>2239</v>
      </c>
      <c r="B81" s="134" t="s">
        <v>123</v>
      </c>
      <c r="C81" s="114">
        <v>533191.32000000007</v>
      </c>
      <c r="D81" s="313">
        <v>527548.42000000004</v>
      </c>
      <c r="E81" s="313">
        <v>118589.65</v>
      </c>
      <c r="F81" s="313"/>
      <c r="G81" s="115">
        <f t="shared" si="32"/>
        <v>-118589.65</v>
      </c>
      <c r="H81" s="116">
        <f t="shared" si="33"/>
        <v>-1</v>
      </c>
      <c r="I81" s="739"/>
      <c r="J81" s="313">
        <v>246200.54</v>
      </c>
      <c r="K81" s="313"/>
      <c r="L81" s="115">
        <f t="shared" si="34"/>
        <v>-246200.54</v>
      </c>
      <c r="M81" s="116">
        <f t="shared" si="35"/>
        <v>-1</v>
      </c>
      <c r="N81" s="739"/>
      <c r="O81" s="313">
        <v>384070.31</v>
      </c>
      <c r="P81" s="313"/>
      <c r="Q81" s="115">
        <f t="shared" si="36"/>
        <v>-384070.31</v>
      </c>
      <c r="R81" s="116">
        <f t="shared" si="37"/>
        <v>-1</v>
      </c>
      <c r="S81" s="733"/>
      <c r="T81" s="313">
        <v>527548.42000000004</v>
      </c>
      <c r="U81" s="313"/>
      <c r="V81" s="115">
        <f t="shared" si="38"/>
        <v>-527548.42000000004</v>
      </c>
      <c r="W81" s="116">
        <f t="shared" si="39"/>
        <v>-1</v>
      </c>
      <c r="X81" s="733"/>
    </row>
    <row r="82" spans="1:24" s="257" customFormat="1" ht="46.5" customHeight="1" x14ac:dyDescent="0.2">
      <c r="A82" s="131">
        <v>2240</v>
      </c>
      <c r="B82" s="137" t="s">
        <v>124</v>
      </c>
      <c r="C82" s="318">
        <v>453751.93999999994</v>
      </c>
      <c r="D82" s="318">
        <v>432843.15999999992</v>
      </c>
      <c r="E82" s="318">
        <v>50615.42</v>
      </c>
      <c r="F82" s="318">
        <f>SUM(F83:F88)</f>
        <v>0</v>
      </c>
      <c r="G82" s="122">
        <f t="shared" si="32"/>
        <v>-50615.42</v>
      </c>
      <c r="H82" s="123">
        <f t="shared" si="33"/>
        <v>-1</v>
      </c>
      <c r="I82" s="740"/>
      <c r="J82" s="318">
        <v>141594.29999999999</v>
      </c>
      <c r="K82" s="318">
        <f>SUM(K83:K88)</f>
        <v>0</v>
      </c>
      <c r="L82" s="122">
        <f t="shared" si="34"/>
        <v>-141594.29999999999</v>
      </c>
      <c r="M82" s="123">
        <f t="shared" si="35"/>
        <v>-1</v>
      </c>
      <c r="N82" s="740"/>
      <c r="O82" s="318">
        <v>292031.62999999995</v>
      </c>
      <c r="P82" s="318">
        <f>SUM(P83:P88)</f>
        <v>0</v>
      </c>
      <c r="Q82" s="122">
        <f t="shared" si="36"/>
        <v>-292031.62999999995</v>
      </c>
      <c r="R82" s="123">
        <f t="shared" si="37"/>
        <v>-1</v>
      </c>
      <c r="S82" s="731"/>
      <c r="T82" s="318">
        <v>432843.15999999992</v>
      </c>
      <c r="U82" s="318">
        <f>SUM(U83:U88)</f>
        <v>0</v>
      </c>
      <c r="V82" s="122">
        <f t="shared" si="38"/>
        <v>-432843.15999999992</v>
      </c>
      <c r="W82" s="123">
        <f t="shared" si="39"/>
        <v>-1</v>
      </c>
      <c r="X82" s="731"/>
    </row>
    <row r="83" spans="1:24" s="2" customFormat="1" ht="46.5" customHeight="1" x14ac:dyDescent="0.2">
      <c r="A83" s="250">
        <v>2241</v>
      </c>
      <c r="B83" s="134" t="s">
        <v>125</v>
      </c>
      <c r="C83" s="313">
        <v>85687.09</v>
      </c>
      <c r="D83" s="313">
        <v>78858.13</v>
      </c>
      <c r="E83" s="313">
        <v>0</v>
      </c>
      <c r="F83" s="114"/>
      <c r="G83" s="115">
        <f t="shared" si="32"/>
        <v>0</v>
      </c>
      <c r="H83" s="116" t="str">
        <f t="shared" si="33"/>
        <v>-</v>
      </c>
      <c r="I83" s="738"/>
      <c r="J83" s="313">
        <v>1004.36</v>
      </c>
      <c r="K83" s="114"/>
      <c r="L83" s="115">
        <f t="shared" si="34"/>
        <v>-1004.36</v>
      </c>
      <c r="M83" s="116">
        <f t="shared" si="35"/>
        <v>-1</v>
      </c>
      <c r="N83" s="738"/>
      <c r="O83" s="314">
        <v>39681.06</v>
      </c>
      <c r="P83" s="114"/>
      <c r="Q83" s="115">
        <f t="shared" si="36"/>
        <v>-39681.06</v>
      </c>
      <c r="R83" s="116">
        <f t="shared" si="37"/>
        <v>-1</v>
      </c>
      <c r="S83" s="732"/>
      <c r="T83" s="314">
        <v>78858.13</v>
      </c>
      <c r="U83" s="114"/>
      <c r="V83" s="115">
        <f t="shared" si="38"/>
        <v>-78858.13</v>
      </c>
      <c r="W83" s="116">
        <f t="shared" si="39"/>
        <v>-1</v>
      </c>
      <c r="X83" s="732"/>
    </row>
    <row r="84" spans="1:24" s="2" customFormat="1" ht="46.5" customHeight="1" x14ac:dyDescent="0.2">
      <c r="A84" s="250">
        <v>2242</v>
      </c>
      <c r="B84" s="134" t="s">
        <v>126</v>
      </c>
      <c r="C84" s="313">
        <v>3312.29</v>
      </c>
      <c r="D84" s="313">
        <v>3418.9599999999996</v>
      </c>
      <c r="E84" s="313">
        <v>206.57</v>
      </c>
      <c r="F84" s="118"/>
      <c r="G84" s="135">
        <f t="shared" si="32"/>
        <v>-206.57</v>
      </c>
      <c r="H84" s="136">
        <f t="shared" si="33"/>
        <v>-1</v>
      </c>
      <c r="I84" s="738"/>
      <c r="J84" s="313">
        <v>2115.56</v>
      </c>
      <c r="K84" s="118"/>
      <c r="L84" s="135">
        <f t="shared" si="34"/>
        <v>-2115.56</v>
      </c>
      <c r="M84" s="136">
        <f t="shared" si="35"/>
        <v>-1</v>
      </c>
      <c r="N84" s="738"/>
      <c r="O84" s="314">
        <v>2498.7799999999997</v>
      </c>
      <c r="P84" s="118"/>
      <c r="Q84" s="115">
        <f t="shared" si="36"/>
        <v>-2498.7799999999997</v>
      </c>
      <c r="R84" s="116">
        <f t="shared" si="37"/>
        <v>-1</v>
      </c>
      <c r="S84" s="732"/>
      <c r="T84" s="314">
        <v>3418.9599999999996</v>
      </c>
      <c r="U84" s="118"/>
      <c r="V84" s="115">
        <f t="shared" si="38"/>
        <v>-3418.9599999999996</v>
      </c>
      <c r="W84" s="116">
        <f t="shared" si="39"/>
        <v>-1</v>
      </c>
      <c r="X84" s="732"/>
    </row>
    <row r="85" spans="1:24" s="2" customFormat="1" ht="46.5" customHeight="1" x14ac:dyDescent="0.2">
      <c r="A85" s="250">
        <v>2243</v>
      </c>
      <c r="B85" s="134" t="s">
        <v>127</v>
      </c>
      <c r="C85" s="313">
        <v>202202.95000000004</v>
      </c>
      <c r="D85" s="313">
        <v>205531.75000000003</v>
      </c>
      <c r="E85" s="313">
        <v>20944.349999999999</v>
      </c>
      <c r="F85" s="114"/>
      <c r="G85" s="115">
        <f t="shared" si="32"/>
        <v>-20944.349999999999</v>
      </c>
      <c r="H85" s="116">
        <f t="shared" si="33"/>
        <v>-1</v>
      </c>
      <c r="I85" s="738"/>
      <c r="J85" s="313">
        <v>76631.819999999992</v>
      </c>
      <c r="K85" s="114"/>
      <c r="L85" s="115">
        <f t="shared" si="34"/>
        <v>-76631.819999999992</v>
      </c>
      <c r="M85" s="116">
        <f t="shared" si="35"/>
        <v>-1</v>
      </c>
      <c r="N85" s="738"/>
      <c r="O85" s="313">
        <v>148902.90000000002</v>
      </c>
      <c r="P85" s="114"/>
      <c r="Q85" s="115">
        <f t="shared" si="36"/>
        <v>-148902.90000000002</v>
      </c>
      <c r="R85" s="116">
        <f t="shared" si="37"/>
        <v>-1</v>
      </c>
      <c r="S85" s="732"/>
      <c r="T85" s="313">
        <v>205531.75000000003</v>
      </c>
      <c r="U85" s="114"/>
      <c r="V85" s="115">
        <f t="shared" si="38"/>
        <v>-205531.75000000003</v>
      </c>
      <c r="W85" s="116">
        <f t="shared" si="39"/>
        <v>-1</v>
      </c>
      <c r="X85" s="732"/>
    </row>
    <row r="86" spans="1:24" s="2" customFormat="1" ht="46.5" customHeight="1" x14ac:dyDescent="0.2">
      <c r="A86" s="250">
        <v>2244</v>
      </c>
      <c r="B86" s="134" t="s">
        <v>128</v>
      </c>
      <c r="C86" s="313">
        <v>22186.700000000004</v>
      </c>
      <c r="D86" s="313">
        <v>21822.250000000004</v>
      </c>
      <c r="E86" s="313">
        <v>4410.2000000000007</v>
      </c>
      <c r="F86" s="114"/>
      <c r="G86" s="115">
        <f t="shared" si="32"/>
        <v>-4410.2000000000007</v>
      </c>
      <c r="H86" s="116">
        <f t="shared" si="33"/>
        <v>-1</v>
      </c>
      <c r="I86" s="738"/>
      <c r="J86" s="313">
        <v>9807.94</v>
      </c>
      <c r="K86" s="114"/>
      <c r="L86" s="115">
        <f t="shared" si="34"/>
        <v>-9807.94</v>
      </c>
      <c r="M86" s="116">
        <f t="shared" si="35"/>
        <v>-1</v>
      </c>
      <c r="N86" s="738"/>
      <c r="O86" s="314">
        <v>17949.05</v>
      </c>
      <c r="P86" s="114"/>
      <c r="Q86" s="115">
        <f t="shared" si="36"/>
        <v>-17949.05</v>
      </c>
      <c r="R86" s="116">
        <f t="shared" si="37"/>
        <v>-1</v>
      </c>
      <c r="S86" s="732"/>
      <c r="T86" s="314">
        <v>21822.250000000004</v>
      </c>
      <c r="U86" s="114"/>
      <c r="V86" s="115">
        <f t="shared" si="38"/>
        <v>-21822.250000000004</v>
      </c>
      <c r="W86" s="116">
        <f t="shared" si="39"/>
        <v>-1</v>
      </c>
      <c r="X86" s="732"/>
    </row>
    <row r="87" spans="1:24" s="2" customFormat="1" ht="46.5" customHeight="1" x14ac:dyDescent="0.2">
      <c r="A87" s="250">
        <v>2247</v>
      </c>
      <c r="B87" s="134" t="s">
        <v>129</v>
      </c>
      <c r="C87" s="313">
        <v>3610.4799999999996</v>
      </c>
      <c r="D87" s="313">
        <v>3636.08</v>
      </c>
      <c r="E87" s="313">
        <v>2808.68</v>
      </c>
      <c r="F87" s="114"/>
      <c r="G87" s="115">
        <f t="shared" si="32"/>
        <v>-2808.68</v>
      </c>
      <c r="H87" s="116">
        <f t="shared" si="33"/>
        <v>-1</v>
      </c>
      <c r="I87" s="738"/>
      <c r="J87" s="313">
        <v>3251.29</v>
      </c>
      <c r="K87" s="114"/>
      <c r="L87" s="135">
        <f t="shared" si="34"/>
        <v>-3251.29</v>
      </c>
      <c r="M87" s="136">
        <f t="shared" si="35"/>
        <v>-1</v>
      </c>
      <c r="N87" s="738"/>
      <c r="O87" s="314">
        <v>3479.96</v>
      </c>
      <c r="P87" s="114"/>
      <c r="Q87" s="115">
        <f t="shared" si="36"/>
        <v>-3479.96</v>
      </c>
      <c r="R87" s="116">
        <f t="shared" si="37"/>
        <v>-1</v>
      </c>
      <c r="S87" s="732"/>
      <c r="T87" s="314">
        <v>3636.08</v>
      </c>
      <c r="U87" s="114"/>
      <c r="V87" s="115">
        <f t="shared" si="38"/>
        <v>-3636.08</v>
      </c>
      <c r="W87" s="116">
        <f t="shared" si="39"/>
        <v>-1</v>
      </c>
      <c r="X87" s="732"/>
    </row>
    <row r="88" spans="1:24" s="2" customFormat="1" ht="46.5" customHeight="1" x14ac:dyDescent="0.2">
      <c r="A88" s="250">
        <v>2249</v>
      </c>
      <c r="B88" s="134" t="s">
        <v>130</v>
      </c>
      <c r="C88" s="313">
        <v>136752.43000000002</v>
      </c>
      <c r="D88" s="313">
        <v>119575.99000000002</v>
      </c>
      <c r="E88" s="313">
        <v>22245.620000000003</v>
      </c>
      <c r="F88" s="114"/>
      <c r="G88" s="115">
        <f t="shared" si="32"/>
        <v>-22245.620000000003</v>
      </c>
      <c r="H88" s="116">
        <f t="shared" si="33"/>
        <v>-1</v>
      </c>
      <c r="I88" s="739"/>
      <c r="J88" s="313">
        <v>48783.330000000009</v>
      </c>
      <c r="K88" s="114"/>
      <c r="L88" s="115">
        <f t="shared" si="34"/>
        <v>-48783.330000000009</v>
      </c>
      <c r="M88" s="116">
        <f t="shared" si="35"/>
        <v>-1</v>
      </c>
      <c r="N88" s="739"/>
      <c r="O88" s="313">
        <v>79519.88</v>
      </c>
      <c r="P88" s="114"/>
      <c r="Q88" s="115">
        <f t="shared" si="36"/>
        <v>-79519.88</v>
      </c>
      <c r="R88" s="116">
        <f t="shared" si="37"/>
        <v>-1</v>
      </c>
      <c r="S88" s="733"/>
      <c r="T88" s="313">
        <v>119575.99000000002</v>
      </c>
      <c r="U88" s="114"/>
      <c r="V88" s="115">
        <f t="shared" si="38"/>
        <v>-119575.99000000002</v>
      </c>
      <c r="W88" s="116">
        <f t="shared" si="39"/>
        <v>-1</v>
      </c>
      <c r="X88" s="733"/>
    </row>
    <row r="89" spans="1:24" s="251" customFormat="1" ht="46.5" customHeight="1" x14ac:dyDescent="0.2">
      <c r="A89" s="131">
        <v>2250</v>
      </c>
      <c r="B89" s="140" t="s">
        <v>131</v>
      </c>
      <c r="C89" s="315">
        <v>226822.99</v>
      </c>
      <c r="D89" s="315">
        <v>221151.00999999998</v>
      </c>
      <c r="E89" s="315">
        <v>53474.29</v>
      </c>
      <c r="F89" s="315"/>
      <c r="G89" s="258">
        <f t="shared" si="32"/>
        <v>-53474.29</v>
      </c>
      <c r="H89" s="259">
        <f t="shared" si="33"/>
        <v>-1</v>
      </c>
      <c r="I89" s="360"/>
      <c r="J89" s="315">
        <v>121561.76999999999</v>
      </c>
      <c r="K89" s="315"/>
      <c r="L89" s="258">
        <f t="shared" si="34"/>
        <v>-121561.76999999999</v>
      </c>
      <c r="M89" s="259">
        <f t="shared" si="35"/>
        <v>-1</v>
      </c>
      <c r="N89" s="360"/>
      <c r="O89" s="316">
        <v>175751.87</v>
      </c>
      <c r="P89" s="315"/>
      <c r="Q89" s="258">
        <f t="shared" si="36"/>
        <v>-175751.87</v>
      </c>
      <c r="R89" s="259">
        <f t="shared" si="37"/>
        <v>-1</v>
      </c>
      <c r="S89" s="260"/>
      <c r="T89" s="315">
        <v>221151.00999999998</v>
      </c>
      <c r="U89" s="315"/>
      <c r="V89" s="258">
        <f t="shared" si="38"/>
        <v>-221151.00999999998</v>
      </c>
      <c r="W89" s="259">
        <f t="shared" si="39"/>
        <v>-1</v>
      </c>
      <c r="X89" s="260"/>
    </row>
    <row r="90" spans="1:24" s="251" customFormat="1" ht="46.5" customHeight="1" x14ac:dyDescent="0.2">
      <c r="A90" s="131">
        <v>2260</v>
      </c>
      <c r="B90" s="140" t="s">
        <v>132</v>
      </c>
      <c r="C90" s="318">
        <v>73342.570000000007</v>
      </c>
      <c r="D90" s="318">
        <v>81354.149999999994</v>
      </c>
      <c r="E90" s="318">
        <v>26265.38</v>
      </c>
      <c r="F90" s="318">
        <f>SUM(F91:F95)</f>
        <v>0</v>
      </c>
      <c r="G90" s="258">
        <f t="shared" si="32"/>
        <v>-26265.38</v>
      </c>
      <c r="H90" s="259">
        <f t="shared" si="33"/>
        <v>-1</v>
      </c>
      <c r="I90" s="731"/>
      <c r="J90" s="318">
        <v>45694.98</v>
      </c>
      <c r="K90" s="318">
        <f>SUM(K91:K95)</f>
        <v>0</v>
      </c>
      <c r="L90" s="258">
        <f t="shared" si="34"/>
        <v>-45694.98</v>
      </c>
      <c r="M90" s="259">
        <f t="shared" si="35"/>
        <v>-1</v>
      </c>
      <c r="N90" s="731"/>
      <c r="O90" s="318">
        <v>63505.670000000006</v>
      </c>
      <c r="P90" s="318">
        <f>SUM(P91:P95)</f>
        <v>0</v>
      </c>
      <c r="Q90" s="258">
        <f t="shared" si="36"/>
        <v>-63505.670000000006</v>
      </c>
      <c r="R90" s="259">
        <f t="shared" si="37"/>
        <v>-1</v>
      </c>
      <c r="S90" s="731"/>
      <c r="T90" s="318">
        <v>81354.149999999994</v>
      </c>
      <c r="U90" s="318">
        <f>SUM(U91:U95)</f>
        <v>0</v>
      </c>
      <c r="V90" s="258">
        <f t="shared" si="38"/>
        <v>-81354.149999999994</v>
      </c>
      <c r="W90" s="259">
        <f t="shared" si="39"/>
        <v>-1</v>
      </c>
      <c r="X90" s="731"/>
    </row>
    <row r="91" spans="1:24" s="2" customFormat="1" ht="46.5" customHeight="1" x14ac:dyDescent="0.2">
      <c r="A91" s="250">
        <v>2261</v>
      </c>
      <c r="B91" s="40" t="s">
        <v>133</v>
      </c>
      <c r="C91" s="114">
        <v>0</v>
      </c>
      <c r="D91" s="313">
        <v>0</v>
      </c>
      <c r="E91" s="313">
        <v>0</v>
      </c>
      <c r="F91" s="114"/>
      <c r="G91" s="115">
        <f t="shared" si="32"/>
        <v>0</v>
      </c>
      <c r="H91" s="116" t="str">
        <f t="shared" si="33"/>
        <v>-</v>
      </c>
      <c r="I91" s="732"/>
      <c r="J91" s="313">
        <v>0</v>
      </c>
      <c r="K91" s="114"/>
      <c r="L91" s="115">
        <f t="shared" si="34"/>
        <v>0</v>
      </c>
      <c r="M91" s="116" t="str">
        <f t="shared" si="35"/>
        <v>-</v>
      </c>
      <c r="N91" s="732"/>
      <c r="O91" s="313">
        <v>0</v>
      </c>
      <c r="P91" s="114"/>
      <c r="Q91" s="115">
        <f t="shared" si="36"/>
        <v>0</v>
      </c>
      <c r="R91" s="116" t="str">
        <f t="shared" si="37"/>
        <v>-</v>
      </c>
      <c r="S91" s="732"/>
      <c r="T91" s="313">
        <v>0</v>
      </c>
      <c r="U91" s="114"/>
      <c r="V91" s="115">
        <f t="shared" si="38"/>
        <v>0</v>
      </c>
      <c r="W91" s="116" t="str">
        <f t="shared" si="39"/>
        <v>-</v>
      </c>
      <c r="X91" s="732"/>
    </row>
    <row r="92" spans="1:24" s="2" customFormat="1" ht="46.5" customHeight="1" x14ac:dyDescent="0.2">
      <c r="A92" s="250">
        <v>2262</v>
      </c>
      <c r="B92" s="40" t="s">
        <v>134</v>
      </c>
      <c r="C92" s="114">
        <v>0</v>
      </c>
      <c r="D92" s="313">
        <v>0</v>
      </c>
      <c r="E92" s="313">
        <v>0</v>
      </c>
      <c r="F92" s="114"/>
      <c r="G92" s="115">
        <f t="shared" si="32"/>
        <v>0</v>
      </c>
      <c r="H92" s="116" t="str">
        <f t="shared" si="33"/>
        <v>-</v>
      </c>
      <c r="I92" s="732"/>
      <c r="J92" s="313">
        <v>0</v>
      </c>
      <c r="K92" s="114"/>
      <c r="L92" s="115">
        <f t="shared" si="34"/>
        <v>0</v>
      </c>
      <c r="M92" s="116" t="str">
        <f t="shared" si="35"/>
        <v>-</v>
      </c>
      <c r="N92" s="732"/>
      <c r="O92" s="313">
        <v>0</v>
      </c>
      <c r="P92" s="114"/>
      <c r="Q92" s="115">
        <f t="shared" si="36"/>
        <v>0</v>
      </c>
      <c r="R92" s="116" t="str">
        <f t="shared" si="37"/>
        <v>-</v>
      </c>
      <c r="S92" s="732"/>
      <c r="T92" s="313">
        <v>0</v>
      </c>
      <c r="U92" s="114"/>
      <c r="V92" s="115">
        <f t="shared" si="38"/>
        <v>0</v>
      </c>
      <c r="W92" s="116" t="str">
        <f t="shared" si="39"/>
        <v>-</v>
      </c>
      <c r="X92" s="732"/>
    </row>
    <row r="93" spans="1:24" s="2" customFormat="1" ht="46.5" customHeight="1" x14ac:dyDescent="0.2">
      <c r="A93" s="250">
        <v>2263</v>
      </c>
      <c r="B93" s="40" t="s">
        <v>135</v>
      </c>
      <c r="C93" s="114">
        <v>0</v>
      </c>
      <c r="D93" s="313">
        <v>0</v>
      </c>
      <c r="E93" s="313">
        <v>0</v>
      </c>
      <c r="F93" s="114"/>
      <c r="G93" s="115">
        <f t="shared" si="32"/>
        <v>0</v>
      </c>
      <c r="H93" s="116" t="str">
        <f t="shared" si="33"/>
        <v>-</v>
      </c>
      <c r="I93" s="732"/>
      <c r="J93" s="313">
        <v>0</v>
      </c>
      <c r="K93" s="114"/>
      <c r="L93" s="115">
        <f t="shared" si="34"/>
        <v>0</v>
      </c>
      <c r="M93" s="116" t="str">
        <f t="shared" si="35"/>
        <v>-</v>
      </c>
      <c r="N93" s="732"/>
      <c r="O93" s="313">
        <v>0</v>
      </c>
      <c r="P93" s="114"/>
      <c r="Q93" s="115">
        <f t="shared" si="36"/>
        <v>0</v>
      </c>
      <c r="R93" s="116" t="str">
        <f t="shared" si="37"/>
        <v>-</v>
      </c>
      <c r="S93" s="732"/>
      <c r="T93" s="313">
        <v>0</v>
      </c>
      <c r="U93" s="114"/>
      <c r="V93" s="115">
        <f t="shared" si="38"/>
        <v>0</v>
      </c>
      <c r="W93" s="116" t="str">
        <f t="shared" si="39"/>
        <v>-</v>
      </c>
      <c r="X93" s="732"/>
    </row>
    <row r="94" spans="1:24" s="2" customFormat="1" ht="46.5" customHeight="1" x14ac:dyDescent="0.2">
      <c r="A94" s="250">
        <v>2264</v>
      </c>
      <c r="B94" s="40" t="s">
        <v>136</v>
      </c>
      <c r="C94" s="114">
        <v>73342.570000000007</v>
      </c>
      <c r="D94" s="313">
        <v>81354.149999999994</v>
      </c>
      <c r="E94" s="313">
        <v>26265.38</v>
      </c>
      <c r="F94" s="114"/>
      <c r="G94" s="115">
        <f t="shared" si="32"/>
        <v>-26265.38</v>
      </c>
      <c r="H94" s="116">
        <f t="shared" si="33"/>
        <v>-1</v>
      </c>
      <c r="I94" s="732"/>
      <c r="J94" s="313">
        <v>45694.98</v>
      </c>
      <c r="K94" s="114"/>
      <c r="L94" s="115">
        <f t="shared" si="34"/>
        <v>-45694.98</v>
      </c>
      <c r="M94" s="116">
        <f t="shared" si="35"/>
        <v>-1</v>
      </c>
      <c r="N94" s="732"/>
      <c r="O94" s="314">
        <v>63505.670000000006</v>
      </c>
      <c r="P94" s="114"/>
      <c r="Q94" s="115">
        <f t="shared" si="36"/>
        <v>-63505.670000000006</v>
      </c>
      <c r="R94" s="116">
        <f t="shared" si="37"/>
        <v>-1</v>
      </c>
      <c r="S94" s="732"/>
      <c r="T94" s="313">
        <v>81354.149999999994</v>
      </c>
      <c r="U94" s="114"/>
      <c r="V94" s="115">
        <f t="shared" si="38"/>
        <v>-81354.149999999994</v>
      </c>
      <c r="W94" s="116">
        <f t="shared" si="39"/>
        <v>-1</v>
      </c>
      <c r="X94" s="732"/>
    </row>
    <row r="95" spans="1:24" s="2" customFormat="1" ht="46.5" customHeight="1" x14ac:dyDescent="0.2">
      <c r="A95" s="250">
        <v>2269</v>
      </c>
      <c r="B95" s="40" t="s">
        <v>137</v>
      </c>
      <c r="C95" s="114">
        <v>0</v>
      </c>
      <c r="D95" s="313">
        <v>0</v>
      </c>
      <c r="E95" s="313">
        <v>0</v>
      </c>
      <c r="F95" s="114"/>
      <c r="G95" s="115">
        <f t="shared" si="32"/>
        <v>0</v>
      </c>
      <c r="H95" s="116" t="str">
        <f t="shared" si="33"/>
        <v>-</v>
      </c>
      <c r="I95" s="733"/>
      <c r="J95" s="313">
        <v>0</v>
      </c>
      <c r="K95" s="114"/>
      <c r="L95" s="115">
        <f t="shared" si="34"/>
        <v>0</v>
      </c>
      <c r="M95" s="116" t="str">
        <f t="shared" si="35"/>
        <v>-</v>
      </c>
      <c r="N95" s="733"/>
      <c r="O95" s="313">
        <v>0</v>
      </c>
      <c r="P95" s="114"/>
      <c r="Q95" s="115">
        <f t="shared" si="36"/>
        <v>0</v>
      </c>
      <c r="R95" s="116" t="str">
        <f t="shared" si="37"/>
        <v>-</v>
      </c>
      <c r="S95" s="733"/>
      <c r="T95" s="313">
        <v>0</v>
      </c>
      <c r="U95" s="114"/>
      <c r="V95" s="115">
        <f t="shared" si="38"/>
        <v>0</v>
      </c>
      <c r="W95" s="116" t="str">
        <f t="shared" si="39"/>
        <v>-</v>
      </c>
      <c r="X95" s="733"/>
    </row>
    <row r="96" spans="1:24" s="251" customFormat="1" ht="46.5" customHeight="1" x14ac:dyDescent="0.2">
      <c r="A96" s="131">
        <v>2270</v>
      </c>
      <c r="B96" s="140" t="s">
        <v>138</v>
      </c>
      <c r="C96" s="244">
        <v>0</v>
      </c>
      <c r="D96" s="318">
        <v>0</v>
      </c>
      <c r="E96" s="318">
        <v>0</v>
      </c>
      <c r="F96" s="244">
        <f>SUM(F97:F101)</f>
        <v>0</v>
      </c>
      <c r="G96" s="258">
        <f t="shared" si="32"/>
        <v>0</v>
      </c>
      <c r="H96" s="259" t="str">
        <f t="shared" si="33"/>
        <v>-</v>
      </c>
      <c r="I96" s="737"/>
      <c r="J96" s="318">
        <v>0</v>
      </c>
      <c r="K96" s="244">
        <f>SUM(K97:K101)</f>
        <v>0</v>
      </c>
      <c r="L96" s="258">
        <f>K96-J96</f>
        <v>0</v>
      </c>
      <c r="M96" s="259" t="str">
        <f>IFERROR(L96/ABS(J96), "-")</f>
        <v>-</v>
      </c>
      <c r="N96" s="737"/>
      <c r="O96" s="318">
        <v>0</v>
      </c>
      <c r="P96" s="244">
        <f>SUM(P97:P101)</f>
        <v>0</v>
      </c>
      <c r="Q96" s="258">
        <f>P96-O96</f>
        <v>0</v>
      </c>
      <c r="R96" s="259" t="str">
        <f>IFERROR(Q96/ABS(O96), "-")</f>
        <v>-</v>
      </c>
      <c r="S96" s="731"/>
      <c r="T96" s="318">
        <v>0</v>
      </c>
      <c r="U96" s="244">
        <f>SUM(U97:U101)</f>
        <v>0</v>
      </c>
      <c r="V96" s="258">
        <f t="shared" si="38"/>
        <v>0</v>
      </c>
      <c r="W96" s="259" t="str">
        <f t="shared" si="39"/>
        <v>-</v>
      </c>
      <c r="X96" s="731"/>
    </row>
    <row r="97" spans="1:24" s="2" customFormat="1" ht="46.5" customHeight="1" x14ac:dyDescent="0.2">
      <c r="A97" s="250">
        <v>2272</v>
      </c>
      <c r="B97" s="134" t="s">
        <v>139</v>
      </c>
      <c r="C97" s="244">
        <v>0</v>
      </c>
      <c r="D97" s="318">
        <v>0</v>
      </c>
      <c r="E97" s="318">
        <v>0</v>
      </c>
      <c r="F97" s="244"/>
      <c r="G97" s="115">
        <f t="shared" si="32"/>
        <v>0</v>
      </c>
      <c r="H97" s="116" t="str">
        <f t="shared" si="33"/>
        <v>-</v>
      </c>
      <c r="I97" s="738"/>
      <c r="J97" s="313">
        <v>0</v>
      </c>
      <c r="K97" s="244"/>
      <c r="L97" s="115">
        <f t="shared" ref="L97" si="40">K97-J97</f>
        <v>0</v>
      </c>
      <c r="M97" s="116" t="str">
        <f t="shared" ref="M97" si="41">IFERROR(L97/ABS(J97), "-")</f>
        <v>-</v>
      </c>
      <c r="N97" s="738"/>
      <c r="O97" s="313">
        <v>0</v>
      </c>
      <c r="P97" s="244"/>
      <c r="Q97" s="115">
        <f t="shared" ref="Q97" si="42">P97-O97</f>
        <v>0</v>
      </c>
      <c r="R97" s="116" t="str">
        <f t="shared" ref="R97" si="43">IFERROR(Q97/ABS(O97), "-")</f>
        <v>-</v>
      </c>
      <c r="S97" s="732"/>
      <c r="T97" s="313">
        <v>0</v>
      </c>
      <c r="U97" s="244"/>
      <c r="V97" s="115">
        <f t="shared" si="38"/>
        <v>0</v>
      </c>
      <c r="W97" s="116" t="str">
        <f t="shared" si="39"/>
        <v>-</v>
      </c>
      <c r="X97" s="732"/>
    </row>
    <row r="98" spans="1:24" s="2" customFormat="1" ht="46.5" customHeight="1" x14ac:dyDescent="0.2">
      <c r="A98" s="250">
        <v>2272</v>
      </c>
      <c r="B98" s="134" t="s">
        <v>140</v>
      </c>
      <c r="C98" s="114">
        <v>0</v>
      </c>
      <c r="D98" s="313">
        <v>0</v>
      </c>
      <c r="E98" s="313">
        <v>0</v>
      </c>
      <c r="F98" s="114"/>
      <c r="G98" s="115">
        <f t="shared" si="32"/>
        <v>0</v>
      </c>
      <c r="H98" s="116" t="str">
        <f t="shared" si="33"/>
        <v>-</v>
      </c>
      <c r="I98" s="738"/>
      <c r="J98" s="313">
        <v>0</v>
      </c>
      <c r="K98" s="114"/>
      <c r="L98" s="115">
        <f t="shared" si="34"/>
        <v>0</v>
      </c>
      <c r="M98" s="116" t="str">
        <f t="shared" si="35"/>
        <v>-</v>
      </c>
      <c r="N98" s="738"/>
      <c r="O98" s="313">
        <v>0</v>
      </c>
      <c r="P98" s="114"/>
      <c r="Q98" s="115">
        <f t="shared" si="36"/>
        <v>0</v>
      </c>
      <c r="R98" s="116" t="str">
        <f t="shared" si="37"/>
        <v>-</v>
      </c>
      <c r="S98" s="732"/>
      <c r="T98" s="313">
        <v>0</v>
      </c>
      <c r="U98" s="114"/>
      <c r="V98" s="115">
        <f t="shared" si="38"/>
        <v>0</v>
      </c>
      <c r="W98" s="116" t="str">
        <f t="shared" si="39"/>
        <v>-</v>
      </c>
      <c r="X98" s="732"/>
    </row>
    <row r="99" spans="1:24" s="2" customFormat="1" ht="46.5" customHeight="1" x14ac:dyDescent="0.2">
      <c r="A99" s="250">
        <v>2273</v>
      </c>
      <c r="B99" s="134" t="s">
        <v>141</v>
      </c>
      <c r="C99" s="114">
        <v>0</v>
      </c>
      <c r="D99" s="313">
        <v>0</v>
      </c>
      <c r="E99" s="313">
        <v>0</v>
      </c>
      <c r="F99" s="114"/>
      <c r="G99" s="115">
        <f t="shared" si="32"/>
        <v>0</v>
      </c>
      <c r="H99" s="116" t="str">
        <f t="shared" si="33"/>
        <v>-</v>
      </c>
      <c r="I99" s="738"/>
      <c r="J99" s="313">
        <v>0</v>
      </c>
      <c r="K99" s="114"/>
      <c r="L99" s="115">
        <f t="shared" si="34"/>
        <v>0</v>
      </c>
      <c r="M99" s="116" t="str">
        <f t="shared" si="35"/>
        <v>-</v>
      </c>
      <c r="N99" s="738"/>
      <c r="O99" s="313">
        <v>0</v>
      </c>
      <c r="P99" s="114"/>
      <c r="Q99" s="115">
        <f t="shared" si="36"/>
        <v>0</v>
      </c>
      <c r="R99" s="116" t="str">
        <f t="shared" si="37"/>
        <v>-</v>
      </c>
      <c r="S99" s="732"/>
      <c r="T99" s="313">
        <v>0</v>
      </c>
      <c r="U99" s="114"/>
      <c r="V99" s="115">
        <f t="shared" si="38"/>
        <v>0</v>
      </c>
      <c r="W99" s="116" t="str">
        <f t="shared" si="39"/>
        <v>-</v>
      </c>
      <c r="X99" s="732"/>
    </row>
    <row r="100" spans="1:24" s="2" customFormat="1" ht="46.5" customHeight="1" x14ac:dyDescent="0.2">
      <c r="A100" s="250">
        <v>2274</v>
      </c>
      <c r="B100" s="134" t="s">
        <v>142</v>
      </c>
      <c r="C100" s="114">
        <v>0</v>
      </c>
      <c r="D100" s="313">
        <v>0</v>
      </c>
      <c r="E100" s="313">
        <v>0</v>
      </c>
      <c r="F100" s="114"/>
      <c r="G100" s="115">
        <f t="shared" si="32"/>
        <v>0</v>
      </c>
      <c r="H100" s="116" t="str">
        <f t="shared" si="33"/>
        <v>-</v>
      </c>
      <c r="I100" s="738"/>
      <c r="J100" s="313">
        <v>0</v>
      </c>
      <c r="K100" s="114"/>
      <c r="L100" s="115">
        <f t="shared" si="34"/>
        <v>0</v>
      </c>
      <c r="M100" s="116" t="str">
        <f t="shared" si="35"/>
        <v>-</v>
      </c>
      <c r="N100" s="738"/>
      <c r="O100" s="313">
        <v>0</v>
      </c>
      <c r="P100" s="114"/>
      <c r="Q100" s="115">
        <f t="shared" si="36"/>
        <v>0</v>
      </c>
      <c r="R100" s="116" t="str">
        <f t="shared" si="37"/>
        <v>-</v>
      </c>
      <c r="S100" s="732"/>
      <c r="T100" s="313">
        <v>0</v>
      </c>
      <c r="U100" s="114"/>
      <c r="V100" s="115">
        <f t="shared" si="38"/>
        <v>0</v>
      </c>
      <c r="W100" s="116" t="str">
        <f t="shared" si="39"/>
        <v>-</v>
      </c>
      <c r="X100" s="732"/>
    </row>
    <row r="101" spans="1:24" s="2" customFormat="1" ht="46.5" customHeight="1" x14ac:dyDescent="0.2">
      <c r="A101" s="250">
        <v>2276</v>
      </c>
      <c r="B101" s="134" t="s">
        <v>143</v>
      </c>
      <c r="C101" s="114">
        <v>0</v>
      </c>
      <c r="D101" s="313">
        <v>0</v>
      </c>
      <c r="E101" s="313">
        <v>0</v>
      </c>
      <c r="F101" s="114"/>
      <c r="G101" s="115">
        <f t="shared" si="32"/>
        <v>0</v>
      </c>
      <c r="H101" s="116" t="str">
        <f t="shared" si="33"/>
        <v>-</v>
      </c>
      <c r="I101" s="739"/>
      <c r="J101" s="313">
        <v>0</v>
      </c>
      <c r="K101" s="114"/>
      <c r="L101" s="115">
        <f t="shared" si="34"/>
        <v>0</v>
      </c>
      <c r="M101" s="116" t="str">
        <f t="shared" si="35"/>
        <v>-</v>
      </c>
      <c r="N101" s="739"/>
      <c r="O101" s="314">
        <v>0</v>
      </c>
      <c r="P101" s="114"/>
      <c r="Q101" s="115">
        <f t="shared" si="36"/>
        <v>0</v>
      </c>
      <c r="R101" s="116" t="str">
        <f t="shared" si="37"/>
        <v>-</v>
      </c>
      <c r="S101" s="733"/>
      <c r="T101" s="314">
        <v>0</v>
      </c>
      <c r="U101" s="114"/>
      <c r="V101" s="115">
        <f t="shared" si="38"/>
        <v>0</v>
      </c>
      <c r="W101" s="116" t="str">
        <f t="shared" si="39"/>
        <v>-</v>
      </c>
      <c r="X101" s="733"/>
    </row>
    <row r="102" spans="1:24" s="251" customFormat="1" ht="46.5" customHeight="1" x14ac:dyDescent="0.2">
      <c r="A102" s="131">
        <v>2280</v>
      </c>
      <c r="B102" s="137" t="s">
        <v>144</v>
      </c>
      <c r="C102" s="315">
        <v>4223.3599999999997</v>
      </c>
      <c r="D102" s="315">
        <v>4210.53</v>
      </c>
      <c r="E102" s="315">
        <v>800</v>
      </c>
      <c r="F102" s="315"/>
      <c r="G102" s="258">
        <f t="shared" si="32"/>
        <v>-800</v>
      </c>
      <c r="H102" s="259">
        <f t="shared" si="33"/>
        <v>-1</v>
      </c>
      <c r="I102" s="531"/>
      <c r="J102" s="315">
        <v>2211.35</v>
      </c>
      <c r="K102" s="315"/>
      <c r="L102" s="258">
        <f t="shared" si="34"/>
        <v>-2211.35</v>
      </c>
      <c r="M102" s="259">
        <f t="shared" si="35"/>
        <v>-1</v>
      </c>
      <c r="N102" s="531"/>
      <c r="O102" s="315">
        <v>3561.96</v>
      </c>
      <c r="P102" s="138"/>
      <c r="Q102" s="258">
        <f t="shared" si="36"/>
        <v>-3561.96</v>
      </c>
      <c r="R102" s="259">
        <f t="shared" si="37"/>
        <v>-1</v>
      </c>
      <c r="S102" s="260"/>
      <c r="T102" s="315">
        <v>4210.53</v>
      </c>
      <c r="U102" s="138"/>
      <c r="V102" s="258">
        <f t="shared" si="38"/>
        <v>-4210.53</v>
      </c>
      <c r="W102" s="259">
        <f t="shared" si="39"/>
        <v>-1</v>
      </c>
      <c r="X102" s="260"/>
    </row>
    <row r="103" spans="1:24" s="3" customFormat="1" ht="46.5" customHeight="1" x14ac:dyDescent="0.2">
      <c r="A103" s="99">
        <v>2300</v>
      </c>
      <c r="B103" s="153" t="s">
        <v>145</v>
      </c>
      <c r="C103" s="312">
        <v>7692266.5499999998</v>
      </c>
      <c r="D103" s="312">
        <v>7611142.04</v>
      </c>
      <c r="E103" s="312">
        <v>1813266.99</v>
      </c>
      <c r="F103" s="147">
        <f>F104+F109+F113+F114+F118+F119+F126+F127+F128</f>
        <v>0</v>
      </c>
      <c r="G103" s="148">
        <f t="shared" si="32"/>
        <v>-1813266.99</v>
      </c>
      <c r="H103" s="149">
        <f t="shared" si="33"/>
        <v>-1</v>
      </c>
      <c r="I103" s="361"/>
      <c r="J103" s="312">
        <v>3680126.17</v>
      </c>
      <c r="K103" s="147">
        <f>K104+K109+K113+K114+K118+K119+K126+K127+K128</f>
        <v>0</v>
      </c>
      <c r="L103" s="148">
        <f t="shared" si="34"/>
        <v>-3680126.17</v>
      </c>
      <c r="M103" s="149">
        <f t="shared" si="35"/>
        <v>-1</v>
      </c>
      <c r="N103" s="361"/>
      <c r="O103" s="312">
        <v>5618519.1400000006</v>
      </c>
      <c r="P103" s="147">
        <f>P104+P109+P113+P114+P118+P119+P126+P127+P128</f>
        <v>0</v>
      </c>
      <c r="Q103" s="148">
        <f t="shared" si="36"/>
        <v>-5618519.1400000006</v>
      </c>
      <c r="R103" s="149">
        <f t="shared" si="37"/>
        <v>-1</v>
      </c>
      <c r="S103" s="158"/>
      <c r="T103" s="312">
        <v>7611142.04</v>
      </c>
      <c r="U103" s="147">
        <f>U104+U109+U113+U114+U118+U119+U126+U127+U128</f>
        <v>0</v>
      </c>
      <c r="V103" s="148">
        <f t="shared" si="38"/>
        <v>-7611142.04</v>
      </c>
      <c r="W103" s="149">
        <f t="shared" si="39"/>
        <v>-1</v>
      </c>
      <c r="X103" s="158"/>
    </row>
    <row r="104" spans="1:24" s="251" customFormat="1" ht="46.5" customHeight="1" x14ac:dyDescent="0.2">
      <c r="A104" s="131">
        <v>2310</v>
      </c>
      <c r="B104" s="137" t="s">
        <v>146</v>
      </c>
      <c r="C104" s="318">
        <v>71484.12</v>
      </c>
      <c r="D104" s="318">
        <v>77620.139999999985</v>
      </c>
      <c r="E104" s="318">
        <v>24511.769999999997</v>
      </c>
      <c r="F104" s="318">
        <f>SUM(F105:F108)</f>
        <v>0</v>
      </c>
      <c r="G104" s="258">
        <f t="shared" si="32"/>
        <v>-24511.769999999997</v>
      </c>
      <c r="H104" s="259">
        <f t="shared" si="33"/>
        <v>-1</v>
      </c>
      <c r="I104" s="737"/>
      <c r="J104" s="318">
        <v>42389.36</v>
      </c>
      <c r="K104" s="318">
        <f>SUM(K105:K108)</f>
        <v>0</v>
      </c>
      <c r="L104" s="258">
        <f t="shared" si="34"/>
        <v>-42389.36</v>
      </c>
      <c r="M104" s="259">
        <f t="shared" si="35"/>
        <v>-1</v>
      </c>
      <c r="N104" s="737"/>
      <c r="O104" s="318">
        <v>60885.02</v>
      </c>
      <c r="P104" s="318">
        <f>SUM(P105:P108)</f>
        <v>0</v>
      </c>
      <c r="Q104" s="258">
        <f t="shared" si="36"/>
        <v>-60885.02</v>
      </c>
      <c r="R104" s="259">
        <f t="shared" si="37"/>
        <v>-1</v>
      </c>
      <c r="S104" s="731"/>
      <c r="T104" s="318">
        <v>77620.139999999985</v>
      </c>
      <c r="U104" s="318">
        <f>SUM(U105:U108)</f>
        <v>0</v>
      </c>
      <c r="V104" s="258">
        <f t="shared" si="38"/>
        <v>-77620.139999999985</v>
      </c>
      <c r="W104" s="259">
        <f t="shared" si="39"/>
        <v>-1</v>
      </c>
      <c r="X104" s="731"/>
    </row>
    <row r="105" spans="1:24" s="2" customFormat="1" ht="46.5" customHeight="1" x14ac:dyDescent="0.2">
      <c r="A105" s="250">
        <v>2311</v>
      </c>
      <c r="B105" s="40" t="s">
        <v>147</v>
      </c>
      <c r="C105" s="313">
        <v>10151.52</v>
      </c>
      <c r="D105" s="313">
        <v>10394</v>
      </c>
      <c r="E105" s="313">
        <v>4136.87</v>
      </c>
      <c r="F105" s="114"/>
      <c r="G105" s="115">
        <f t="shared" si="32"/>
        <v>-4136.87</v>
      </c>
      <c r="H105" s="116">
        <f t="shared" si="33"/>
        <v>-1</v>
      </c>
      <c r="I105" s="738"/>
      <c r="J105" s="313">
        <v>6585.53</v>
      </c>
      <c r="K105" s="114"/>
      <c r="L105" s="115">
        <f t="shared" si="34"/>
        <v>-6585.53</v>
      </c>
      <c r="M105" s="116">
        <f t="shared" si="35"/>
        <v>-1</v>
      </c>
      <c r="N105" s="738"/>
      <c r="O105" s="313">
        <v>9052.56</v>
      </c>
      <c r="P105" s="114"/>
      <c r="Q105" s="115">
        <f t="shared" si="36"/>
        <v>-9052.56</v>
      </c>
      <c r="R105" s="116">
        <f t="shared" si="37"/>
        <v>-1</v>
      </c>
      <c r="S105" s="732"/>
      <c r="T105" s="313">
        <v>10394</v>
      </c>
      <c r="U105" s="114"/>
      <c r="V105" s="115">
        <f t="shared" si="38"/>
        <v>-10394</v>
      </c>
      <c r="W105" s="116">
        <f t="shared" si="39"/>
        <v>-1</v>
      </c>
      <c r="X105" s="732"/>
    </row>
    <row r="106" spans="1:24" s="2" customFormat="1" ht="46.5" customHeight="1" x14ac:dyDescent="0.2">
      <c r="A106" s="250">
        <v>2312</v>
      </c>
      <c r="B106" s="40" t="s">
        <v>148</v>
      </c>
      <c r="C106" s="313">
        <v>55544.760000000009</v>
      </c>
      <c r="D106" s="313">
        <v>55929.250000000007</v>
      </c>
      <c r="E106" s="313">
        <v>13360.599999999999</v>
      </c>
      <c r="F106" s="114"/>
      <c r="G106" s="115">
        <f t="shared" si="32"/>
        <v>-13360.599999999999</v>
      </c>
      <c r="H106" s="116">
        <f t="shared" si="33"/>
        <v>-1</v>
      </c>
      <c r="I106" s="738"/>
      <c r="J106" s="313">
        <v>27433.989999999998</v>
      </c>
      <c r="K106" s="114"/>
      <c r="L106" s="115">
        <f t="shared" si="34"/>
        <v>-27433.989999999998</v>
      </c>
      <c r="M106" s="116">
        <f t="shared" si="35"/>
        <v>-1</v>
      </c>
      <c r="N106" s="738"/>
      <c r="O106" s="314">
        <v>41812.370000000003</v>
      </c>
      <c r="P106" s="114"/>
      <c r="Q106" s="115">
        <f t="shared" si="36"/>
        <v>-41812.370000000003</v>
      </c>
      <c r="R106" s="116">
        <f t="shared" si="37"/>
        <v>-1</v>
      </c>
      <c r="S106" s="732"/>
      <c r="T106" s="314">
        <v>55929.250000000007</v>
      </c>
      <c r="U106" s="114"/>
      <c r="V106" s="115">
        <f t="shared" si="38"/>
        <v>-55929.250000000007</v>
      </c>
      <c r="W106" s="116">
        <f t="shared" si="39"/>
        <v>-1</v>
      </c>
      <c r="X106" s="732"/>
    </row>
    <row r="107" spans="1:24" s="3" customFormat="1" ht="46.5" customHeight="1" x14ac:dyDescent="0.2">
      <c r="A107" s="250">
        <v>2313</v>
      </c>
      <c r="B107" s="40" t="s">
        <v>149</v>
      </c>
      <c r="C107" s="313">
        <v>5787.84</v>
      </c>
      <c r="D107" s="313">
        <v>11296.89</v>
      </c>
      <c r="E107" s="313">
        <v>7014.3</v>
      </c>
      <c r="F107" s="114"/>
      <c r="G107" s="115">
        <f t="shared" si="32"/>
        <v>-7014.3</v>
      </c>
      <c r="H107" s="116">
        <f t="shared" si="33"/>
        <v>-1</v>
      </c>
      <c r="I107" s="738"/>
      <c r="J107" s="313">
        <v>8369.84</v>
      </c>
      <c r="K107" s="114"/>
      <c r="L107" s="135">
        <f t="shared" si="34"/>
        <v>-8369.84</v>
      </c>
      <c r="M107" s="136">
        <f t="shared" si="35"/>
        <v>-1</v>
      </c>
      <c r="N107" s="738"/>
      <c r="O107" s="314">
        <v>10020.09</v>
      </c>
      <c r="P107" s="114"/>
      <c r="Q107" s="115">
        <f t="shared" si="36"/>
        <v>-10020.09</v>
      </c>
      <c r="R107" s="116">
        <f t="shared" si="37"/>
        <v>-1</v>
      </c>
      <c r="S107" s="732"/>
      <c r="T107" s="314">
        <v>11296.89</v>
      </c>
      <c r="U107" s="114"/>
      <c r="V107" s="115">
        <f t="shared" si="38"/>
        <v>-11296.89</v>
      </c>
      <c r="W107" s="116">
        <f t="shared" si="39"/>
        <v>-1</v>
      </c>
      <c r="X107" s="732"/>
    </row>
    <row r="108" spans="1:24" s="2" customFormat="1" ht="46.5" customHeight="1" x14ac:dyDescent="0.2">
      <c r="A108" s="250">
        <v>2314</v>
      </c>
      <c r="B108" s="134" t="s">
        <v>150</v>
      </c>
      <c r="C108" s="313">
        <v>0</v>
      </c>
      <c r="D108" s="313">
        <v>0</v>
      </c>
      <c r="E108" s="313">
        <v>0</v>
      </c>
      <c r="F108" s="114"/>
      <c r="G108" s="115">
        <f t="shared" si="32"/>
        <v>0</v>
      </c>
      <c r="H108" s="116" t="str">
        <f t="shared" si="33"/>
        <v>-</v>
      </c>
      <c r="I108" s="739"/>
      <c r="J108" s="313">
        <v>0</v>
      </c>
      <c r="K108" s="114"/>
      <c r="L108" s="115">
        <f t="shared" si="34"/>
        <v>0</v>
      </c>
      <c r="M108" s="116" t="str">
        <f t="shared" si="35"/>
        <v>-</v>
      </c>
      <c r="N108" s="739"/>
      <c r="O108" s="313">
        <v>0</v>
      </c>
      <c r="P108" s="114"/>
      <c r="Q108" s="115">
        <f t="shared" si="36"/>
        <v>0</v>
      </c>
      <c r="R108" s="116" t="str">
        <f t="shared" si="37"/>
        <v>-</v>
      </c>
      <c r="S108" s="733"/>
      <c r="T108" s="313">
        <v>0</v>
      </c>
      <c r="U108" s="114"/>
      <c r="V108" s="115">
        <f t="shared" si="38"/>
        <v>0</v>
      </c>
      <c r="W108" s="116" t="str">
        <f t="shared" si="39"/>
        <v>-</v>
      </c>
      <c r="X108" s="733"/>
    </row>
    <row r="109" spans="1:24" s="251" customFormat="1" ht="46.5" customHeight="1" x14ac:dyDescent="0.2">
      <c r="A109" s="131">
        <v>2320</v>
      </c>
      <c r="B109" s="137" t="s">
        <v>151</v>
      </c>
      <c r="C109" s="318">
        <v>2258.3799999999997</v>
      </c>
      <c r="D109" s="318">
        <v>2289.66</v>
      </c>
      <c r="E109" s="318">
        <v>603.77</v>
      </c>
      <c r="F109" s="254">
        <f>SUM(F110:F112)</f>
        <v>0</v>
      </c>
      <c r="G109" s="258">
        <f t="shared" si="32"/>
        <v>-603.77</v>
      </c>
      <c r="H109" s="259">
        <f t="shared" si="33"/>
        <v>-1</v>
      </c>
      <c r="I109" s="731"/>
      <c r="J109" s="318">
        <v>1166.4199999999998</v>
      </c>
      <c r="K109" s="254">
        <f>SUM(K110:K112)</f>
        <v>0</v>
      </c>
      <c r="L109" s="258">
        <f t="shared" si="34"/>
        <v>-1166.4199999999998</v>
      </c>
      <c r="M109" s="259">
        <f t="shared" si="35"/>
        <v>-1</v>
      </c>
      <c r="N109" s="731"/>
      <c r="O109" s="318">
        <v>1791.7899999999997</v>
      </c>
      <c r="P109" s="254">
        <f>SUM(P110:P112)</f>
        <v>0</v>
      </c>
      <c r="Q109" s="258">
        <f t="shared" si="36"/>
        <v>-1791.7899999999997</v>
      </c>
      <c r="R109" s="259">
        <f t="shared" si="37"/>
        <v>-1</v>
      </c>
      <c r="S109" s="731"/>
      <c r="T109" s="318">
        <v>2289.66</v>
      </c>
      <c r="U109" s="254">
        <f>SUM(U110:U112)</f>
        <v>0</v>
      </c>
      <c r="V109" s="258">
        <f t="shared" si="38"/>
        <v>-2289.66</v>
      </c>
      <c r="W109" s="259">
        <f t="shared" si="39"/>
        <v>-1</v>
      </c>
      <c r="X109" s="731"/>
    </row>
    <row r="110" spans="1:24" s="2" customFormat="1" ht="46.5" customHeight="1" x14ac:dyDescent="0.2">
      <c r="A110" s="73">
        <v>2321</v>
      </c>
      <c r="B110" s="40" t="s">
        <v>152</v>
      </c>
      <c r="C110" s="313">
        <v>0</v>
      </c>
      <c r="D110" s="313">
        <v>0</v>
      </c>
      <c r="E110" s="313">
        <v>0</v>
      </c>
      <c r="F110" s="114"/>
      <c r="G110" s="115">
        <f t="shared" si="32"/>
        <v>0</v>
      </c>
      <c r="H110" s="116" t="str">
        <f t="shared" si="33"/>
        <v>-</v>
      </c>
      <c r="I110" s="732"/>
      <c r="J110" s="313">
        <v>0</v>
      </c>
      <c r="K110" s="114"/>
      <c r="L110" s="115">
        <f t="shared" si="34"/>
        <v>0</v>
      </c>
      <c r="M110" s="116" t="str">
        <f t="shared" si="35"/>
        <v>-</v>
      </c>
      <c r="N110" s="732"/>
      <c r="O110" s="313">
        <v>0</v>
      </c>
      <c r="P110" s="114"/>
      <c r="Q110" s="115">
        <f t="shared" si="36"/>
        <v>0</v>
      </c>
      <c r="R110" s="116" t="str">
        <f t="shared" si="37"/>
        <v>-</v>
      </c>
      <c r="S110" s="732"/>
      <c r="T110" s="313">
        <v>0</v>
      </c>
      <c r="U110" s="114"/>
      <c r="V110" s="115">
        <f t="shared" si="38"/>
        <v>0</v>
      </c>
      <c r="W110" s="116" t="str">
        <f t="shared" si="39"/>
        <v>-</v>
      </c>
      <c r="X110" s="732"/>
    </row>
    <row r="111" spans="1:24" s="3" customFormat="1" ht="46.5" customHeight="1" x14ac:dyDescent="0.2">
      <c r="A111" s="73">
        <v>2322</v>
      </c>
      <c r="B111" s="40" t="s">
        <v>153</v>
      </c>
      <c r="C111" s="313">
        <v>2258.3799999999997</v>
      </c>
      <c r="D111" s="313">
        <v>2289.66</v>
      </c>
      <c r="E111" s="313">
        <v>603.77</v>
      </c>
      <c r="F111" s="114"/>
      <c r="G111" s="115">
        <f t="shared" si="32"/>
        <v>-603.77</v>
      </c>
      <c r="H111" s="116">
        <f t="shared" si="33"/>
        <v>-1</v>
      </c>
      <c r="I111" s="732"/>
      <c r="J111" s="313">
        <v>1166.4199999999998</v>
      </c>
      <c r="K111" s="114"/>
      <c r="L111" s="115">
        <f t="shared" si="34"/>
        <v>-1166.4199999999998</v>
      </c>
      <c r="M111" s="116">
        <f t="shared" si="35"/>
        <v>-1</v>
      </c>
      <c r="N111" s="732"/>
      <c r="O111" s="313">
        <v>1791.7899999999997</v>
      </c>
      <c r="P111" s="114"/>
      <c r="Q111" s="115">
        <f t="shared" si="36"/>
        <v>-1791.7899999999997</v>
      </c>
      <c r="R111" s="116">
        <f t="shared" si="37"/>
        <v>-1</v>
      </c>
      <c r="S111" s="732"/>
      <c r="T111" s="313">
        <v>2289.66</v>
      </c>
      <c r="U111" s="114"/>
      <c r="V111" s="115">
        <f t="shared" si="38"/>
        <v>-2289.66</v>
      </c>
      <c r="W111" s="116">
        <f t="shared" si="39"/>
        <v>-1</v>
      </c>
      <c r="X111" s="732"/>
    </row>
    <row r="112" spans="1:24" s="3" customFormat="1" ht="46.5" customHeight="1" x14ac:dyDescent="0.2">
      <c r="A112" s="73">
        <v>2329</v>
      </c>
      <c r="B112" s="40" t="s">
        <v>154</v>
      </c>
      <c r="C112" s="313">
        <v>0</v>
      </c>
      <c r="D112" s="313">
        <v>0</v>
      </c>
      <c r="E112" s="313">
        <v>0</v>
      </c>
      <c r="F112" s="114"/>
      <c r="G112" s="115">
        <f t="shared" si="32"/>
        <v>0</v>
      </c>
      <c r="H112" s="116" t="str">
        <f t="shared" si="33"/>
        <v>-</v>
      </c>
      <c r="I112" s="733"/>
      <c r="J112" s="313">
        <v>0</v>
      </c>
      <c r="K112" s="114"/>
      <c r="L112" s="115">
        <f t="shared" si="34"/>
        <v>0</v>
      </c>
      <c r="M112" s="116" t="str">
        <f t="shared" si="35"/>
        <v>-</v>
      </c>
      <c r="N112" s="733"/>
      <c r="O112" s="313">
        <v>0</v>
      </c>
      <c r="P112" s="114"/>
      <c r="Q112" s="115">
        <f t="shared" si="36"/>
        <v>0</v>
      </c>
      <c r="R112" s="116" t="str">
        <f t="shared" si="37"/>
        <v>-</v>
      </c>
      <c r="S112" s="733"/>
      <c r="T112" s="313">
        <v>0</v>
      </c>
      <c r="U112" s="114"/>
      <c r="V112" s="115">
        <f t="shared" si="38"/>
        <v>0</v>
      </c>
      <c r="W112" s="116" t="str">
        <f t="shared" si="39"/>
        <v>-</v>
      </c>
      <c r="X112" s="733"/>
    </row>
    <row r="113" spans="1:24" s="251" customFormat="1" ht="46.5" customHeight="1" x14ac:dyDescent="0.2">
      <c r="A113" s="131">
        <v>2330</v>
      </c>
      <c r="B113" s="140" t="s">
        <v>155</v>
      </c>
      <c r="C113" s="315">
        <v>0</v>
      </c>
      <c r="D113" s="315">
        <v>0</v>
      </c>
      <c r="E113" s="315">
        <v>0</v>
      </c>
      <c r="F113" s="138"/>
      <c r="G113" s="258">
        <f t="shared" si="32"/>
        <v>0</v>
      </c>
      <c r="H113" s="259" t="str">
        <f t="shared" si="33"/>
        <v>-</v>
      </c>
      <c r="I113" s="360"/>
      <c r="J113" s="315">
        <v>0</v>
      </c>
      <c r="K113" s="138"/>
      <c r="L113" s="258">
        <f t="shared" si="34"/>
        <v>0</v>
      </c>
      <c r="M113" s="259" t="str">
        <f t="shared" si="35"/>
        <v>-</v>
      </c>
      <c r="N113" s="360"/>
      <c r="O113" s="315">
        <v>0</v>
      </c>
      <c r="P113" s="138"/>
      <c r="Q113" s="258">
        <f t="shared" si="36"/>
        <v>0</v>
      </c>
      <c r="R113" s="259" t="str">
        <f t="shared" si="37"/>
        <v>-</v>
      </c>
      <c r="S113" s="260"/>
      <c r="T113" s="315">
        <v>0</v>
      </c>
      <c r="U113" s="138"/>
      <c r="V113" s="258">
        <f t="shared" si="38"/>
        <v>0</v>
      </c>
      <c r="W113" s="259" t="str">
        <f t="shared" si="39"/>
        <v>-</v>
      </c>
      <c r="X113" s="260"/>
    </row>
    <row r="114" spans="1:24" s="251" customFormat="1" ht="46.5" customHeight="1" x14ac:dyDescent="0.2">
      <c r="A114" s="131">
        <v>2340</v>
      </c>
      <c r="B114" s="137" t="s">
        <v>156</v>
      </c>
      <c r="C114" s="315">
        <v>7314600.6799999997</v>
      </c>
      <c r="D114" s="315">
        <v>7233873.6799999997</v>
      </c>
      <c r="E114" s="315">
        <v>1713908.64</v>
      </c>
      <c r="F114" s="315">
        <f>F115+F116+F117</f>
        <v>0</v>
      </c>
      <c r="G114" s="258">
        <f t="shared" si="32"/>
        <v>-1713908.64</v>
      </c>
      <c r="H114" s="259">
        <f t="shared" si="33"/>
        <v>-1</v>
      </c>
      <c r="I114" s="734"/>
      <c r="J114" s="315">
        <v>3488723.64</v>
      </c>
      <c r="K114" s="315">
        <f>K115+K116+K117</f>
        <v>0</v>
      </c>
      <c r="L114" s="258">
        <f t="shared" si="34"/>
        <v>-3488723.64</v>
      </c>
      <c r="M114" s="259">
        <f t="shared" si="35"/>
        <v>-1</v>
      </c>
      <c r="N114" s="734"/>
      <c r="O114" s="315">
        <v>5332954.96</v>
      </c>
      <c r="P114" s="315">
        <f>P115+P116+P117</f>
        <v>0</v>
      </c>
      <c r="Q114" s="258">
        <f t="shared" si="36"/>
        <v>-5332954.96</v>
      </c>
      <c r="R114" s="259">
        <f t="shared" si="37"/>
        <v>-1</v>
      </c>
      <c r="S114" s="734"/>
      <c r="T114" s="315">
        <v>7233873.6799999997</v>
      </c>
      <c r="U114" s="315">
        <f>U115+U116+U117</f>
        <v>0</v>
      </c>
      <c r="V114" s="258">
        <f t="shared" si="38"/>
        <v>-7233873.6799999997</v>
      </c>
      <c r="W114" s="259">
        <f t="shared" si="39"/>
        <v>-1</v>
      </c>
      <c r="X114" s="734"/>
    </row>
    <row r="115" spans="1:24" s="2" customFormat="1" ht="46.5" customHeight="1" x14ac:dyDescent="0.2">
      <c r="A115" s="261">
        <v>2341</v>
      </c>
      <c r="B115" s="141" t="s">
        <v>157</v>
      </c>
      <c r="C115" s="319">
        <v>876450.14999999991</v>
      </c>
      <c r="D115" s="319">
        <v>880712.27999999991</v>
      </c>
      <c r="E115" s="319">
        <v>211482.18</v>
      </c>
      <c r="F115" s="319"/>
      <c r="G115" s="129">
        <f t="shared" si="32"/>
        <v>-211482.18</v>
      </c>
      <c r="H115" s="130">
        <f t="shared" si="33"/>
        <v>-1</v>
      </c>
      <c r="I115" s="735"/>
      <c r="J115" s="319">
        <v>428282.43</v>
      </c>
      <c r="K115" s="319"/>
      <c r="L115" s="129">
        <f t="shared" si="34"/>
        <v>-428282.43</v>
      </c>
      <c r="M115" s="130">
        <f t="shared" si="35"/>
        <v>-1</v>
      </c>
      <c r="N115" s="735"/>
      <c r="O115" s="319">
        <v>664420.36</v>
      </c>
      <c r="P115" s="319"/>
      <c r="Q115" s="129">
        <f t="shared" si="36"/>
        <v>-664420.36</v>
      </c>
      <c r="R115" s="130">
        <f t="shared" si="37"/>
        <v>-1</v>
      </c>
      <c r="S115" s="735"/>
      <c r="T115" s="319">
        <v>880712.27999999991</v>
      </c>
      <c r="U115" s="319"/>
      <c r="V115" s="129">
        <f t="shared" si="38"/>
        <v>-880712.27999999991</v>
      </c>
      <c r="W115" s="130">
        <f t="shared" si="39"/>
        <v>-1</v>
      </c>
      <c r="X115" s="735"/>
    </row>
    <row r="116" spans="1:24" s="3" customFormat="1" ht="46.5" customHeight="1" x14ac:dyDescent="0.2">
      <c r="A116" s="261">
        <v>2343</v>
      </c>
      <c r="B116" s="141" t="s">
        <v>158</v>
      </c>
      <c r="C116" s="319">
        <v>77908.37999999999</v>
      </c>
      <c r="D116" s="319">
        <v>80738.179999999993</v>
      </c>
      <c r="E116" s="319">
        <v>21771.43</v>
      </c>
      <c r="F116" s="319"/>
      <c r="G116" s="142">
        <f t="shared" si="32"/>
        <v>-21771.43</v>
      </c>
      <c r="H116" s="130">
        <f t="shared" si="33"/>
        <v>-1</v>
      </c>
      <c r="I116" s="735"/>
      <c r="J116" s="319">
        <v>40746.07</v>
      </c>
      <c r="K116" s="319"/>
      <c r="L116" s="142">
        <f t="shared" si="34"/>
        <v>-40746.07</v>
      </c>
      <c r="M116" s="130">
        <f t="shared" si="35"/>
        <v>-1</v>
      </c>
      <c r="N116" s="735"/>
      <c r="O116" s="319">
        <v>61506.07</v>
      </c>
      <c r="P116" s="319"/>
      <c r="Q116" s="142">
        <f t="shared" si="36"/>
        <v>-61506.07</v>
      </c>
      <c r="R116" s="130">
        <f t="shared" si="37"/>
        <v>-1</v>
      </c>
      <c r="S116" s="735"/>
      <c r="T116" s="319">
        <v>80738.179999999993</v>
      </c>
      <c r="U116" s="319"/>
      <c r="V116" s="142">
        <f t="shared" si="38"/>
        <v>-80738.179999999993</v>
      </c>
      <c r="W116" s="130">
        <f t="shared" si="39"/>
        <v>-1</v>
      </c>
      <c r="X116" s="735"/>
    </row>
    <row r="117" spans="1:24" s="3" customFormat="1" ht="46.5" customHeight="1" x14ac:dyDescent="0.2">
      <c r="A117" s="261">
        <v>2344</v>
      </c>
      <c r="B117" s="141" t="s">
        <v>159</v>
      </c>
      <c r="C117" s="319">
        <v>6360242.1500000004</v>
      </c>
      <c r="D117" s="319">
        <v>6272423.2200000007</v>
      </c>
      <c r="E117" s="319">
        <v>1480655.03</v>
      </c>
      <c r="F117" s="319"/>
      <c r="G117" s="129">
        <f t="shared" si="32"/>
        <v>-1480655.03</v>
      </c>
      <c r="H117" s="130">
        <f t="shared" si="33"/>
        <v>-1</v>
      </c>
      <c r="I117" s="736"/>
      <c r="J117" s="319">
        <v>3019695.1400000006</v>
      </c>
      <c r="K117" s="319"/>
      <c r="L117" s="129">
        <f t="shared" si="34"/>
        <v>-3019695.1400000006</v>
      </c>
      <c r="M117" s="130">
        <f t="shared" si="35"/>
        <v>-1</v>
      </c>
      <c r="N117" s="736"/>
      <c r="O117" s="319">
        <v>4607028.5300000012</v>
      </c>
      <c r="P117" s="319"/>
      <c r="Q117" s="129">
        <f t="shared" si="36"/>
        <v>-4607028.5300000012</v>
      </c>
      <c r="R117" s="130">
        <f t="shared" si="37"/>
        <v>-1</v>
      </c>
      <c r="S117" s="736"/>
      <c r="T117" s="319">
        <v>6272423.2200000007</v>
      </c>
      <c r="U117" s="319"/>
      <c r="V117" s="129">
        <f t="shared" si="38"/>
        <v>-6272423.2200000007</v>
      </c>
      <c r="W117" s="130">
        <f t="shared" si="39"/>
        <v>-1</v>
      </c>
      <c r="X117" s="736"/>
    </row>
    <row r="118" spans="1:24" s="251" customFormat="1" ht="46.5" customHeight="1" x14ac:dyDescent="0.2">
      <c r="A118" s="131">
        <v>2350</v>
      </c>
      <c r="B118" s="140" t="s">
        <v>160</v>
      </c>
      <c r="C118" s="315">
        <v>14406.669999999998</v>
      </c>
      <c r="D118" s="315">
        <v>13444.670000000002</v>
      </c>
      <c r="E118" s="315">
        <v>3610.15</v>
      </c>
      <c r="F118" s="315"/>
      <c r="G118" s="258">
        <f t="shared" si="32"/>
        <v>-3610.15</v>
      </c>
      <c r="H118" s="259">
        <f t="shared" si="33"/>
        <v>-1</v>
      </c>
      <c r="I118" s="139"/>
      <c r="J118" s="315">
        <v>7377.7500000000009</v>
      </c>
      <c r="K118" s="315"/>
      <c r="L118" s="258">
        <f t="shared" si="34"/>
        <v>-7377.7500000000009</v>
      </c>
      <c r="M118" s="259">
        <f t="shared" si="35"/>
        <v>-1</v>
      </c>
      <c r="N118" s="139"/>
      <c r="O118" s="315">
        <v>10418.880000000003</v>
      </c>
      <c r="P118" s="315"/>
      <c r="Q118" s="258">
        <f t="shared" si="36"/>
        <v>-10418.880000000003</v>
      </c>
      <c r="R118" s="259">
        <f t="shared" si="37"/>
        <v>-1</v>
      </c>
      <c r="S118" s="260"/>
      <c r="T118" s="315">
        <v>13444.670000000002</v>
      </c>
      <c r="U118" s="315"/>
      <c r="V118" s="258">
        <f t="shared" si="38"/>
        <v>-13444.670000000002</v>
      </c>
      <c r="W118" s="259">
        <f t="shared" si="39"/>
        <v>-1</v>
      </c>
      <c r="X118" s="260"/>
    </row>
    <row r="119" spans="1:24" s="251" customFormat="1" ht="46.5" customHeight="1" x14ac:dyDescent="0.2">
      <c r="A119" s="131">
        <v>2360</v>
      </c>
      <c r="B119" s="137" t="s">
        <v>161</v>
      </c>
      <c r="C119" s="318">
        <v>289516.69999999995</v>
      </c>
      <c r="D119" s="318">
        <v>283913.89</v>
      </c>
      <c r="E119" s="318">
        <v>70632.66</v>
      </c>
      <c r="F119" s="254">
        <f>SUM(F120:F125)</f>
        <v>0</v>
      </c>
      <c r="G119" s="258">
        <f t="shared" si="32"/>
        <v>-70632.66</v>
      </c>
      <c r="H119" s="259">
        <f t="shared" si="33"/>
        <v>-1</v>
      </c>
      <c r="I119" s="737"/>
      <c r="J119" s="318">
        <v>140469</v>
      </c>
      <c r="K119" s="254">
        <f>SUM(K120:K125)</f>
        <v>0</v>
      </c>
      <c r="L119" s="258">
        <f t="shared" si="34"/>
        <v>-140469</v>
      </c>
      <c r="M119" s="259">
        <f t="shared" si="35"/>
        <v>-1</v>
      </c>
      <c r="N119" s="737"/>
      <c r="O119" s="318">
        <v>212468.49</v>
      </c>
      <c r="P119" s="254">
        <f>SUM(P120:P125)</f>
        <v>0</v>
      </c>
      <c r="Q119" s="258">
        <f t="shared" si="36"/>
        <v>-212468.49</v>
      </c>
      <c r="R119" s="259">
        <f t="shared" si="37"/>
        <v>-1</v>
      </c>
      <c r="S119" s="731"/>
      <c r="T119" s="318">
        <v>283913.89</v>
      </c>
      <c r="U119" s="254">
        <f>SUM(U120:U125)</f>
        <v>0</v>
      </c>
      <c r="V119" s="258">
        <f t="shared" si="38"/>
        <v>-283913.89</v>
      </c>
      <c r="W119" s="259">
        <f t="shared" si="39"/>
        <v>-1</v>
      </c>
      <c r="X119" s="731"/>
    </row>
    <row r="120" spans="1:24" s="2" customFormat="1" ht="46.5" customHeight="1" x14ac:dyDescent="0.2">
      <c r="A120" s="250">
        <v>2361</v>
      </c>
      <c r="B120" s="134" t="s">
        <v>162</v>
      </c>
      <c r="C120" s="313">
        <v>10450.630000000001</v>
      </c>
      <c r="D120" s="313">
        <v>10209.84</v>
      </c>
      <c r="E120" s="313">
        <v>1834.96</v>
      </c>
      <c r="F120" s="114"/>
      <c r="G120" s="115">
        <f t="shared" si="32"/>
        <v>-1834.96</v>
      </c>
      <c r="H120" s="116">
        <f>IFERROR(G120/ABS(E120), "-")</f>
        <v>-1</v>
      </c>
      <c r="I120" s="738"/>
      <c r="J120" s="460">
        <v>7047.9</v>
      </c>
      <c r="K120" s="461"/>
      <c r="L120" s="462">
        <f t="shared" si="34"/>
        <v>-7047.9</v>
      </c>
      <c r="M120" s="463">
        <f t="shared" si="35"/>
        <v>-1</v>
      </c>
      <c r="N120" s="738"/>
      <c r="O120" s="314">
        <v>8808.34</v>
      </c>
      <c r="P120" s="114"/>
      <c r="Q120" s="115">
        <f t="shared" si="36"/>
        <v>-8808.34</v>
      </c>
      <c r="R120" s="116">
        <f t="shared" si="37"/>
        <v>-1</v>
      </c>
      <c r="S120" s="732"/>
      <c r="T120" s="314">
        <v>10209.84</v>
      </c>
      <c r="U120" s="114"/>
      <c r="V120" s="115">
        <f t="shared" si="38"/>
        <v>-10209.84</v>
      </c>
      <c r="W120" s="116">
        <f t="shared" si="39"/>
        <v>-1</v>
      </c>
      <c r="X120" s="732"/>
    </row>
    <row r="121" spans="1:24" s="2" customFormat="1" ht="46.5" customHeight="1" x14ac:dyDescent="0.2">
      <c r="A121" s="250">
        <v>2362</v>
      </c>
      <c r="B121" s="134" t="s">
        <v>163</v>
      </c>
      <c r="C121" s="313">
        <v>817.06999999999994</v>
      </c>
      <c r="D121" s="313">
        <v>886.95</v>
      </c>
      <c r="E121" s="313">
        <v>157.19999999999999</v>
      </c>
      <c r="F121" s="114"/>
      <c r="G121" s="115">
        <f t="shared" si="32"/>
        <v>-157.19999999999999</v>
      </c>
      <c r="H121" s="116">
        <f t="shared" si="33"/>
        <v>-1</v>
      </c>
      <c r="I121" s="738"/>
      <c r="J121" s="313">
        <v>157.19999999999999</v>
      </c>
      <c r="K121" s="114"/>
      <c r="L121" s="115">
        <f t="shared" si="34"/>
        <v>-157.19999999999999</v>
      </c>
      <c r="M121" s="116">
        <f t="shared" si="35"/>
        <v>-1</v>
      </c>
      <c r="N121" s="738"/>
      <c r="O121" s="314">
        <v>886.95</v>
      </c>
      <c r="P121" s="114"/>
      <c r="Q121" s="115">
        <f t="shared" si="36"/>
        <v>-886.95</v>
      </c>
      <c r="R121" s="116">
        <f t="shared" si="37"/>
        <v>-1</v>
      </c>
      <c r="S121" s="732"/>
      <c r="T121" s="313">
        <v>886.95</v>
      </c>
      <c r="U121" s="114"/>
      <c r="V121" s="115">
        <f t="shared" si="38"/>
        <v>-886.95</v>
      </c>
      <c r="W121" s="116">
        <f t="shared" si="39"/>
        <v>-1</v>
      </c>
      <c r="X121" s="732"/>
    </row>
    <row r="122" spans="1:24" s="2" customFormat="1" ht="46.5" customHeight="1" x14ac:dyDescent="0.2">
      <c r="A122" s="250">
        <v>2363</v>
      </c>
      <c r="B122" s="134" t="s">
        <v>164</v>
      </c>
      <c r="C122" s="313">
        <v>278249</v>
      </c>
      <c r="D122" s="313">
        <v>272817.10000000003</v>
      </c>
      <c r="E122" s="313">
        <v>68640.5</v>
      </c>
      <c r="F122" s="114"/>
      <c r="G122" s="115">
        <f t="shared" si="32"/>
        <v>-68640.5</v>
      </c>
      <c r="H122" s="116">
        <f t="shared" si="33"/>
        <v>-1</v>
      </c>
      <c r="I122" s="738"/>
      <c r="J122" s="313">
        <v>133263.9</v>
      </c>
      <c r="K122" s="114"/>
      <c r="L122" s="115">
        <f t="shared" si="34"/>
        <v>-133263.9</v>
      </c>
      <c r="M122" s="116">
        <f t="shared" si="35"/>
        <v>-1</v>
      </c>
      <c r="N122" s="738"/>
      <c r="O122" s="313">
        <v>202773.2</v>
      </c>
      <c r="P122" s="114"/>
      <c r="Q122" s="115">
        <f t="shared" si="36"/>
        <v>-202773.2</v>
      </c>
      <c r="R122" s="116">
        <f t="shared" si="37"/>
        <v>-1</v>
      </c>
      <c r="S122" s="732"/>
      <c r="T122" s="313">
        <v>272817.10000000003</v>
      </c>
      <c r="U122" s="114"/>
      <c r="V122" s="115">
        <f t="shared" si="38"/>
        <v>-272817.10000000003</v>
      </c>
      <c r="W122" s="116">
        <f t="shared" si="39"/>
        <v>-1</v>
      </c>
      <c r="X122" s="732"/>
    </row>
    <row r="123" spans="1:24" s="2" customFormat="1" ht="46.5" customHeight="1" x14ac:dyDescent="0.2">
      <c r="A123" s="250">
        <v>2364</v>
      </c>
      <c r="B123" s="134" t="s">
        <v>165</v>
      </c>
      <c r="C123" s="313">
        <v>0</v>
      </c>
      <c r="D123" s="313">
        <v>0</v>
      </c>
      <c r="E123" s="313">
        <v>0</v>
      </c>
      <c r="F123" s="114"/>
      <c r="G123" s="115">
        <f t="shared" si="32"/>
        <v>0</v>
      </c>
      <c r="H123" s="116" t="str">
        <f t="shared" si="33"/>
        <v>-</v>
      </c>
      <c r="I123" s="738"/>
      <c r="J123" s="313">
        <v>0</v>
      </c>
      <c r="K123" s="114"/>
      <c r="L123" s="115">
        <f t="shared" si="34"/>
        <v>0</v>
      </c>
      <c r="M123" s="116" t="str">
        <f t="shared" si="35"/>
        <v>-</v>
      </c>
      <c r="N123" s="738"/>
      <c r="O123" s="313">
        <v>0</v>
      </c>
      <c r="P123" s="114"/>
      <c r="Q123" s="115">
        <f t="shared" si="36"/>
        <v>0</v>
      </c>
      <c r="R123" s="116" t="str">
        <f t="shared" si="37"/>
        <v>-</v>
      </c>
      <c r="S123" s="732"/>
      <c r="T123" s="313">
        <v>0</v>
      </c>
      <c r="U123" s="114"/>
      <c r="V123" s="115">
        <f t="shared" si="38"/>
        <v>0</v>
      </c>
      <c r="W123" s="116" t="str">
        <f t="shared" si="39"/>
        <v>-</v>
      </c>
      <c r="X123" s="732"/>
    </row>
    <row r="124" spans="1:24" s="3" customFormat="1" ht="46.5" customHeight="1" x14ac:dyDescent="0.2">
      <c r="A124" s="250">
        <v>2366</v>
      </c>
      <c r="B124" s="134" t="s">
        <v>166</v>
      </c>
      <c r="C124" s="313">
        <v>0</v>
      </c>
      <c r="D124" s="313">
        <v>0</v>
      </c>
      <c r="E124" s="313">
        <v>0</v>
      </c>
      <c r="F124" s="114"/>
      <c r="G124" s="115">
        <f t="shared" si="32"/>
        <v>0</v>
      </c>
      <c r="H124" s="116" t="str">
        <f t="shared" si="33"/>
        <v>-</v>
      </c>
      <c r="I124" s="738"/>
      <c r="J124" s="313">
        <v>0</v>
      </c>
      <c r="K124" s="114"/>
      <c r="L124" s="115">
        <f t="shared" si="34"/>
        <v>0</v>
      </c>
      <c r="M124" s="116" t="str">
        <f t="shared" si="35"/>
        <v>-</v>
      </c>
      <c r="N124" s="738"/>
      <c r="O124" s="313">
        <v>0</v>
      </c>
      <c r="P124" s="114"/>
      <c r="Q124" s="115">
        <f t="shared" si="36"/>
        <v>0</v>
      </c>
      <c r="R124" s="116" t="str">
        <f t="shared" si="37"/>
        <v>-</v>
      </c>
      <c r="S124" s="732"/>
      <c r="T124" s="313">
        <v>0</v>
      </c>
      <c r="U124" s="114"/>
      <c r="V124" s="115">
        <f t="shared" si="38"/>
        <v>0</v>
      </c>
      <c r="W124" s="116" t="str">
        <f t="shared" si="39"/>
        <v>-</v>
      </c>
      <c r="X124" s="732"/>
    </row>
    <row r="125" spans="1:24" s="3" customFormat="1" ht="46.5" customHeight="1" x14ac:dyDescent="0.2">
      <c r="A125" s="250">
        <v>2369</v>
      </c>
      <c r="B125" s="134" t="s">
        <v>167</v>
      </c>
      <c r="C125" s="114">
        <v>0</v>
      </c>
      <c r="D125" s="313">
        <v>0</v>
      </c>
      <c r="E125" s="313">
        <v>0</v>
      </c>
      <c r="F125" s="114"/>
      <c r="G125" s="115">
        <f t="shared" si="32"/>
        <v>0</v>
      </c>
      <c r="H125" s="116" t="str">
        <f t="shared" si="33"/>
        <v>-</v>
      </c>
      <c r="I125" s="739"/>
      <c r="J125" s="313">
        <v>0</v>
      </c>
      <c r="K125" s="114"/>
      <c r="L125" s="115">
        <f t="shared" si="34"/>
        <v>0</v>
      </c>
      <c r="M125" s="116" t="str">
        <f t="shared" si="35"/>
        <v>-</v>
      </c>
      <c r="N125" s="739"/>
      <c r="O125" s="313">
        <v>0</v>
      </c>
      <c r="P125" s="114"/>
      <c r="Q125" s="115">
        <f t="shared" si="36"/>
        <v>0</v>
      </c>
      <c r="R125" s="116" t="str">
        <f t="shared" si="37"/>
        <v>-</v>
      </c>
      <c r="S125" s="733"/>
      <c r="T125" s="313">
        <v>0</v>
      </c>
      <c r="U125" s="114"/>
      <c r="V125" s="115">
        <f t="shared" si="38"/>
        <v>0</v>
      </c>
      <c r="W125" s="116" t="str">
        <f t="shared" si="39"/>
        <v>-</v>
      </c>
      <c r="X125" s="733"/>
    </row>
    <row r="126" spans="1:24" s="251" customFormat="1" ht="46.5" customHeight="1" x14ac:dyDescent="0.2">
      <c r="A126" s="131">
        <v>2370</v>
      </c>
      <c r="B126" s="140" t="s">
        <v>168</v>
      </c>
      <c r="C126" s="121">
        <v>0</v>
      </c>
      <c r="D126" s="315">
        <v>0</v>
      </c>
      <c r="E126" s="315">
        <v>0</v>
      </c>
      <c r="F126" s="121"/>
      <c r="G126" s="258">
        <f t="shared" si="32"/>
        <v>0</v>
      </c>
      <c r="H126" s="259" t="str">
        <f t="shared" si="33"/>
        <v>-</v>
      </c>
      <c r="I126" s="260"/>
      <c r="J126" s="315">
        <v>0</v>
      </c>
      <c r="K126" s="121"/>
      <c r="L126" s="258">
        <f t="shared" si="34"/>
        <v>0</v>
      </c>
      <c r="M126" s="259" t="str">
        <f t="shared" si="35"/>
        <v>-</v>
      </c>
      <c r="N126" s="260"/>
      <c r="O126" s="315">
        <v>0</v>
      </c>
      <c r="P126" s="121"/>
      <c r="Q126" s="258">
        <f t="shared" si="36"/>
        <v>0</v>
      </c>
      <c r="R126" s="259" t="str">
        <f t="shared" si="37"/>
        <v>-</v>
      </c>
      <c r="S126" s="260"/>
      <c r="T126" s="315">
        <v>0</v>
      </c>
      <c r="U126" s="121"/>
      <c r="V126" s="258">
        <f t="shared" si="38"/>
        <v>0</v>
      </c>
      <c r="W126" s="259" t="str">
        <f t="shared" si="39"/>
        <v>-</v>
      </c>
      <c r="X126" s="260"/>
    </row>
    <row r="127" spans="1:24" s="251" customFormat="1" ht="46.5" customHeight="1" x14ac:dyDescent="0.2">
      <c r="A127" s="131">
        <v>2380</v>
      </c>
      <c r="B127" s="140" t="s">
        <v>169</v>
      </c>
      <c r="C127" s="138">
        <v>0</v>
      </c>
      <c r="D127" s="315">
        <v>0</v>
      </c>
      <c r="E127" s="315">
        <v>0</v>
      </c>
      <c r="F127" s="138"/>
      <c r="G127" s="258">
        <f t="shared" si="32"/>
        <v>0</v>
      </c>
      <c r="H127" s="259" t="str">
        <f t="shared" si="33"/>
        <v>-</v>
      </c>
      <c r="I127" s="260"/>
      <c r="J127" s="315">
        <v>0</v>
      </c>
      <c r="K127" s="138"/>
      <c r="L127" s="258">
        <f t="shared" si="34"/>
        <v>0</v>
      </c>
      <c r="M127" s="259" t="str">
        <f t="shared" si="35"/>
        <v>-</v>
      </c>
      <c r="N127" s="260"/>
      <c r="O127" s="315">
        <v>0</v>
      </c>
      <c r="P127" s="138"/>
      <c r="Q127" s="258">
        <f t="shared" si="36"/>
        <v>0</v>
      </c>
      <c r="R127" s="259" t="str">
        <f t="shared" si="37"/>
        <v>-</v>
      </c>
      <c r="S127" s="260"/>
      <c r="T127" s="315">
        <v>0</v>
      </c>
      <c r="U127" s="138"/>
      <c r="V127" s="258">
        <f t="shared" si="38"/>
        <v>0</v>
      </c>
      <c r="W127" s="259" t="str">
        <f t="shared" si="39"/>
        <v>-</v>
      </c>
      <c r="X127" s="260"/>
    </row>
    <row r="128" spans="1:24" s="253" customFormat="1" ht="46.5" customHeight="1" x14ac:dyDescent="0.2">
      <c r="A128" s="131">
        <v>2390</v>
      </c>
      <c r="B128" s="140" t="s">
        <v>170</v>
      </c>
      <c r="C128" s="121">
        <v>0</v>
      </c>
      <c r="D128" s="315">
        <v>0</v>
      </c>
      <c r="E128" s="315">
        <v>0</v>
      </c>
      <c r="F128" s="121"/>
      <c r="G128" s="258">
        <f t="shared" si="32"/>
        <v>0</v>
      </c>
      <c r="H128" s="259" t="str">
        <f t="shared" si="33"/>
        <v>-</v>
      </c>
      <c r="I128" s="260"/>
      <c r="J128" s="315">
        <v>0</v>
      </c>
      <c r="K128" s="121"/>
      <c r="L128" s="258">
        <f t="shared" si="34"/>
        <v>0</v>
      </c>
      <c r="M128" s="259" t="str">
        <f t="shared" si="35"/>
        <v>-</v>
      </c>
      <c r="N128" s="260"/>
      <c r="O128" s="315">
        <v>0</v>
      </c>
      <c r="P128" s="121"/>
      <c r="Q128" s="258">
        <f t="shared" si="36"/>
        <v>0</v>
      </c>
      <c r="R128" s="259" t="str">
        <f t="shared" si="37"/>
        <v>-</v>
      </c>
      <c r="S128" s="260"/>
      <c r="T128" s="315">
        <v>0</v>
      </c>
      <c r="U128" s="121"/>
      <c r="V128" s="258">
        <f t="shared" si="38"/>
        <v>0</v>
      </c>
      <c r="W128" s="259" t="str">
        <f t="shared" si="39"/>
        <v>-</v>
      </c>
      <c r="X128" s="260"/>
    </row>
    <row r="129" spans="1:24" ht="46.5" customHeight="1" x14ac:dyDescent="0.2">
      <c r="A129" s="99">
        <v>2500</v>
      </c>
      <c r="B129" s="153" t="s">
        <v>171</v>
      </c>
      <c r="C129" s="312">
        <v>1880857.83</v>
      </c>
      <c r="D129" s="312">
        <v>1849402.25</v>
      </c>
      <c r="E129" s="312">
        <v>467291.76999999996</v>
      </c>
      <c r="F129" s="152">
        <f t="shared" ref="F129" si="44">SUM(F130+F138)</f>
        <v>0</v>
      </c>
      <c r="G129" s="148">
        <f t="shared" si="32"/>
        <v>-467291.76999999996</v>
      </c>
      <c r="H129" s="149">
        <f t="shared" si="33"/>
        <v>-1</v>
      </c>
      <c r="I129" s="158"/>
      <c r="J129" s="312">
        <v>913640.26</v>
      </c>
      <c r="K129" s="152">
        <f t="shared" ref="K129" si="45">SUM(K130+K138)</f>
        <v>0</v>
      </c>
      <c r="L129" s="148">
        <f t="shared" si="34"/>
        <v>-913640.26</v>
      </c>
      <c r="M129" s="149">
        <f t="shared" si="35"/>
        <v>-1</v>
      </c>
      <c r="N129" s="158"/>
      <c r="O129" s="312">
        <v>1378379.2000000002</v>
      </c>
      <c r="P129" s="152">
        <f t="shared" ref="P129" si="46">SUM(P130+P138)</f>
        <v>0</v>
      </c>
      <c r="Q129" s="148">
        <f t="shared" si="36"/>
        <v>-1378379.2000000002</v>
      </c>
      <c r="R129" s="149">
        <f t="shared" si="37"/>
        <v>-1</v>
      </c>
      <c r="S129" s="158"/>
      <c r="T129" s="312">
        <v>1849402.25</v>
      </c>
      <c r="U129" s="152">
        <f t="shared" ref="U129" si="47">SUM(U130+U138)</f>
        <v>0</v>
      </c>
      <c r="V129" s="148">
        <f t="shared" si="38"/>
        <v>-1849402.25</v>
      </c>
      <c r="W129" s="149">
        <f t="shared" si="39"/>
        <v>-1</v>
      </c>
      <c r="X129" s="158"/>
    </row>
    <row r="130" spans="1:24" s="253" customFormat="1" ht="46.5" customHeight="1" x14ac:dyDescent="0.2">
      <c r="A130" s="131">
        <v>2510</v>
      </c>
      <c r="B130" s="140" t="s">
        <v>172</v>
      </c>
      <c r="C130" s="318">
        <v>1880857.83</v>
      </c>
      <c r="D130" s="318">
        <v>1849402.25</v>
      </c>
      <c r="E130" s="318">
        <v>467291.76999999996</v>
      </c>
      <c r="F130" s="244">
        <f>SUM(F131:F137)</f>
        <v>0</v>
      </c>
      <c r="G130" s="122">
        <f t="shared" si="32"/>
        <v>-467291.76999999996</v>
      </c>
      <c r="H130" s="123">
        <f t="shared" si="33"/>
        <v>-1</v>
      </c>
      <c r="I130" s="730"/>
      <c r="J130" s="318">
        <v>913640.26</v>
      </c>
      <c r="K130" s="244">
        <f>SUM(K131:K137)</f>
        <v>0</v>
      </c>
      <c r="L130" s="122">
        <f t="shared" si="34"/>
        <v>-913640.26</v>
      </c>
      <c r="M130" s="123">
        <f t="shared" si="35"/>
        <v>-1</v>
      </c>
      <c r="N130" s="730"/>
      <c r="O130" s="318">
        <v>1378379.2000000002</v>
      </c>
      <c r="P130" s="244">
        <f>SUM(P131:P137)</f>
        <v>0</v>
      </c>
      <c r="Q130" s="122">
        <f t="shared" si="36"/>
        <v>-1378379.2000000002</v>
      </c>
      <c r="R130" s="123">
        <f t="shared" si="37"/>
        <v>-1</v>
      </c>
      <c r="S130" s="730"/>
      <c r="T130" s="318">
        <v>1849402.25</v>
      </c>
      <c r="U130" s="244">
        <f>SUM(U131:U137)</f>
        <v>0</v>
      </c>
      <c r="V130" s="122">
        <f t="shared" si="38"/>
        <v>-1849402.25</v>
      </c>
      <c r="W130" s="123">
        <f t="shared" si="39"/>
        <v>-1</v>
      </c>
      <c r="X130" s="730"/>
    </row>
    <row r="131" spans="1:24" ht="46.5" customHeight="1" x14ac:dyDescent="0.2">
      <c r="A131" s="250">
        <v>2512</v>
      </c>
      <c r="B131" s="134" t="s">
        <v>173</v>
      </c>
      <c r="C131" s="114">
        <v>1869004.3099999996</v>
      </c>
      <c r="D131" s="313">
        <v>1837505.5499999998</v>
      </c>
      <c r="E131" s="313">
        <v>464313.26</v>
      </c>
      <c r="F131" s="114"/>
      <c r="G131" s="115">
        <f t="shared" si="32"/>
        <v>-464313.26</v>
      </c>
      <c r="H131" s="116">
        <f t="shared" si="33"/>
        <v>-1</v>
      </c>
      <c r="I131" s="730"/>
      <c r="J131" s="313">
        <v>907691.77999999991</v>
      </c>
      <c r="K131" s="114"/>
      <c r="L131" s="115">
        <f t="shared" si="34"/>
        <v>-907691.77999999991</v>
      </c>
      <c r="M131" s="116">
        <f t="shared" si="35"/>
        <v>-1</v>
      </c>
      <c r="N131" s="730"/>
      <c r="O131" s="313">
        <v>1369460.75</v>
      </c>
      <c r="P131" s="114"/>
      <c r="Q131" s="115">
        <f t="shared" si="36"/>
        <v>-1369460.75</v>
      </c>
      <c r="R131" s="116">
        <f t="shared" si="37"/>
        <v>-1</v>
      </c>
      <c r="S131" s="730"/>
      <c r="T131" s="313">
        <v>1837505.5499999998</v>
      </c>
      <c r="U131" s="114"/>
      <c r="V131" s="115">
        <f t="shared" si="38"/>
        <v>-1837505.5499999998</v>
      </c>
      <c r="W131" s="116">
        <f t="shared" si="39"/>
        <v>-1</v>
      </c>
      <c r="X131" s="730"/>
    </row>
    <row r="132" spans="1:24" ht="46.5" customHeight="1" x14ac:dyDescent="0.2">
      <c r="A132" s="250">
        <v>2513</v>
      </c>
      <c r="B132" s="134" t="s">
        <v>174</v>
      </c>
      <c r="C132" s="114">
        <v>9074.32</v>
      </c>
      <c r="D132" s="313">
        <v>9106.7000000000007</v>
      </c>
      <c r="E132" s="313">
        <v>2276.87</v>
      </c>
      <c r="F132" s="114"/>
      <c r="G132" s="115">
        <f t="shared" ref="G132:G173" si="48">F132-E132</f>
        <v>-2276.87</v>
      </c>
      <c r="H132" s="116">
        <f t="shared" ref="H132:H173" si="49">IFERROR(G132/ABS(E132), "-")</f>
        <v>-1</v>
      </c>
      <c r="I132" s="730"/>
      <c r="J132" s="313">
        <v>4553.4799999999996</v>
      </c>
      <c r="K132" s="114"/>
      <c r="L132" s="115">
        <f t="shared" si="34"/>
        <v>-4553.4799999999996</v>
      </c>
      <c r="M132" s="116">
        <f t="shared" si="35"/>
        <v>-1</v>
      </c>
      <c r="N132" s="730"/>
      <c r="O132" s="313">
        <v>6830.0899999999992</v>
      </c>
      <c r="P132" s="114"/>
      <c r="Q132" s="115">
        <f t="shared" si="36"/>
        <v>-6830.0899999999992</v>
      </c>
      <c r="R132" s="116">
        <f t="shared" si="37"/>
        <v>-1</v>
      </c>
      <c r="S132" s="730"/>
      <c r="T132" s="313">
        <v>9106.7000000000007</v>
      </c>
      <c r="U132" s="114"/>
      <c r="V132" s="115">
        <f t="shared" si="38"/>
        <v>-9106.7000000000007</v>
      </c>
      <c r="W132" s="116">
        <f t="shared" si="39"/>
        <v>-1</v>
      </c>
      <c r="X132" s="730"/>
    </row>
    <row r="133" spans="1:24" ht="46.5" customHeight="1" x14ac:dyDescent="0.2">
      <c r="A133" s="250">
        <v>2514</v>
      </c>
      <c r="B133" s="134" t="s">
        <v>175</v>
      </c>
      <c r="C133" s="114">
        <v>0</v>
      </c>
      <c r="D133" s="313">
        <v>0</v>
      </c>
      <c r="E133" s="313">
        <v>0</v>
      </c>
      <c r="F133" s="114"/>
      <c r="G133" s="115">
        <f t="shared" si="48"/>
        <v>0</v>
      </c>
      <c r="H133" s="116" t="str">
        <f t="shared" si="49"/>
        <v>-</v>
      </c>
      <c r="I133" s="730"/>
      <c r="J133" s="313">
        <v>0</v>
      </c>
      <c r="K133" s="114"/>
      <c r="L133" s="115">
        <f t="shared" si="34"/>
        <v>0</v>
      </c>
      <c r="M133" s="116" t="str">
        <f t="shared" si="35"/>
        <v>-</v>
      </c>
      <c r="N133" s="730"/>
      <c r="O133" s="313">
        <v>0</v>
      </c>
      <c r="P133" s="114"/>
      <c r="Q133" s="115">
        <f t="shared" si="36"/>
        <v>0</v>
      </c>
      <c r="R133" s="116" t="str">
        <f t="shared" si="37"/>
        <v>-</v>
      </c>
      <c r="S133" s="730"/>
      <c r="T133" s="313">
        <v>0</v>
      </c>
      <c r="U133" s="114"/>
      <c r="V133" s="115">
        <f t="shared" si="38"/>
        <v>0</v>
      </c>
      <c r="W133" s="116" t="str">
        <f t="shared" si="39"/>
        <v>-</v>
      </c>
      <c r="X133" s="730"/>
    </row>
    <row r="134" spans="1:24" ht="46.5" customHeight="1" x14ac:dyDescent="0.2">
      <c r="A134" s="250">
        <v>2515</v>
      </c>
      <c r="B134" s="134" t="s">
        <v>176</v>
      </c>
      <c r="C134" s="114">
        <v>0</v>
      </c>
      <c r="D134" s="313">
        <v>0</v>
      </c>
      <c r="E134" s="313">
        <v>0</v>
      </c>
      <c r="F134" s="114"/>
      <c r="G134" s="115">
        <f t="shared" si="48"/>
        <v>0</v>
      </c>
      <c r="H134" s="116" t="str">
        <f t="shared" si="49"/>
        <v>-</v>
      </c>
      <c r="I134" s="730"/>
      <c r="J134" s="313">
        <v>0</v>
      </c>
      <c r="K134" s="114"/>
      <c r="L134" s="115">
        <f t="shared" si="34"/>
        <v>0</v>
      </c>
      <c r="M134" s="116" t="str">
        <f t="shared" si="35"/>
        <v>-</v>
      </c>
      <c r="N134" s="730"/>
      <c r="O134" s="313">
        <v>0</v>
      </c>
      <c r="P134" s="114"/>
      <c r="Q134" s="115">
        <f t="shared" si="36"/>
        <v>0</v>
      </c>
      <c r="R134" s="116" t="str">
        <f t="shared" si="37"/>
        <v>-</v>
      </c>
      <c r="S134" s="730"/>
      <c r="T134" s="313">
        <v>0</v>
      </c>
      <c r="U134" s="114"/>
      <c r="V134" s="115">
        <f t="shared" si="38"/>
        <v>0</v>
      </c>
      <c r="W134" s="116" t="str">
        <f t="shared" si="39"/>
        <v>-</v>
      </c>
      <c r="X134" s="730"/>
    </row>
    <row r="135" spans="1:24" ht="46.5" customHeight="1" x14ac:dyDescent="0.2">
      <c r="A135" s="250">
        <v>2516</v>
      </c>
      <c r="B135" s="134" t="s">
        <v>177</v>
      </c>
      <c r="C135" s="114">
        <v>0</v>
      </c>
      <c r="D135" s="313">
        <v>0</v>
      </c>
      <c r="E135" s="313">
        <v>0</v>
      </c>
      <c r="F135" s="114"/>
      <c r="G135" s="115">
        <f t="shared" si="48"/>
        <v>0</v>
      </c>
      <c r="H135" s="116" t="str">
        <f t="shared" si="49"/>
        <v>-</v>
      </c>
      <c r="I135" s="730"/>
      <c r="J135" s="313">
        <v>0</v>
      </c>
      <c r="K135" s="114"/>
      <c r="L135" s="115">
        <f t="shared" ref="L135:L172" si="50">K135-J135</f>
        <v>0</v>
      </c>
      <c r="M135" s="116" t="str">
        <f t="shared" ref="M135:M173" si="51">IFERROR(L135/ABS(J135), "-")</f>
        <v>-</v>
      </c>
      <c r="N135" s="730"/>
      <c r="O135" s="313">
        <v>0</v>
      </c>
      <c r="P135" s="114"/>
      <c r="Q135" s="115">
        <f t="shared" ref="Q135:Q173" si="52">P135-O135</f>
        <v>0</v>
      </c>
      <c r="R135" s="116" t="str">
        <f t="shared" ref="R135:R173" si="53">IFERROR(Q135/ABS(O135), "-")</f>
        <v>-</v>
      </c>
      <c r="S135" s="730"/>
      <c r="T135" s="313">
        <v>0</v>
      </c>
      <c r="U135" s="114"/>
      <c r="V135" s="115">
        <f t="shared" ref="V135:V173" si="54">U135-T135</f>
        <v>0</v>
      </c>
      <c r="W135" s="116" t="str">
        <f t="shared" ref="W135:W173" si="55">IFERROR(V135/ABS(T135), "-")</f>
        <v>-</v>
      </c>
      <c r="X135" s="730"/>
    </row>
    <row r="136" spans="1:24" ht="46.5" customHeight="1" x14ac:dyDescent="0.2">
      <c r="A136" s="261">
        <v>2518</v>
      </c>
      <c r="B136" s="141" t="s">
        <v>178</v>
      </c>
      <c r="C136" s="114">
        <v>2779.2000000000003</v>
      </c>
      <c r="D136" s="313">
        <v>2790.0000000000005</v>
      </c>
      <c r="E136" s="313">
        <v>701.64</v>
      </c>
      <c r="F136" s="114"/>
      <c r="G136" s="115">
        <f t="shared" si="48"/>
        <v>-701.64</v>
      </c>
      <c r="H136" s="116">
        <f t="shared" si="49"/>
        <v>-1</v>
      </c>
      <c r="I136" s="730"/>
      <c r="J136" s="313">
        <v>1395</v>
      </c>
      <c r="K136" s="114"/>
      <c r="L136" s="115">
        <f t="shared" si="50"/>
        <v>-1395</v>
      </c>
      <c r="M136" s="116">
        <f t="shared" si="51"/>
        <v>-1</v>
      </c>
      <c r="N136" s="730"/>
      <c r="O136" s="313">
        <v>2088.36</v>
      </c>
      <c r="P136" s="114"/>
      <c r="Q136" s="115">
        <f t="shared" si="52"/>
        <v>-2088.36</v>
      </c>
      <c r="R136" s="116">
        <f t="shared" si="53"/>
        <v>-1</v>
      </c>
      <c r="S136" s="730"/>
      <c r="T136" s="313">
        <v>2790.0000000000005</v>
      </c>
      <c r="U136" s="114"/>
      <c r="V136" s="115">
        <f t="shared" si="54"/>
        <v>-2790.0000000000005</v>
      </c>
      <c r="W136" s="116">
        <f t="shared" si="55"/>
        <v>-1</v>
      </c>
      <c r="X136" s="730"/>
    </row>
    <row r="137" spans="1:24" s="2" customFormat="1" ht="46.5" customHeight="1" x14ac:dyDescent="0.2">
      <c r="A137" s="250">
        <v>2519</v>
      </c>
      <c r="B137" s="134" t="s">
        <v>179</v>
      </c>
      <c r="C137" s="114">
        <v>0</v>
      </c>
      <c r="D137" s="313">
        <v>0</v>
      </c>
      <c r="E137" s="313">
        <v>0</v>
      </c>
      <c r="F137" s="114"/>
      <c r="G137" s="115">
        <f t="shared" si="48"/>
        <v>0</v>
      </c>
      <c r="H137" s="116" t="str">
        <f t="shared" si="49"/>
        <v>-</v>
      </c>
      <c r="I137" s="730"/>
      <c r="J137" s="313">
        <v>0</v>
      </c>
      <c r="K137" s="114"/>
      <c r="L137" s="115">
        <f t="shared" si="50"/>
        <v>0</v>
      </c>
      <c r="M137" s="116" t="str">
        <f t="shared" si="51"/>
        <v>-</v>
      </c>
      <c r="N137" s="730"/>
      <c r="O137" s="313">
        <v>0</v>
      </c>
      <c r="P137" s="114"/>
      <c r="Q137" s="115">
        <f t="shared" si="52"/>
        <v>0</v>
      </c>
      <c r="R137" s="116" t="str">
        <f t="shared" si="53"/>
        <v>-</v>
      </c>
      <c r="S137" s="730"/>
      <c r="T137" s="313">
        <v>0</v>
      </c>
      <c r="U137" s="114"/>
      <c r="V137" s="115">
        <f t="shared" si="54"/>
        <v>0</v>
      </c>
      <c r="W137" s="116" t="str">
        <f t="shared" si="55"/>
        <v>-</v>
      </c>
      <c r="X137" s="730"/>
    </row>
    <row r="138" spans="1:24" ht="46.5" customHeight="1" x14ac:dyDescent="0.2">
      <c r="A138" s="131">
        <v>2520</v>
      </c>
      <c r="B138" s="137" t="s">
        <v>180</v>
      </c>
      <c r="C138" s="121">
        <v>0</v>
      </c>
      <c r="D138" s="315">
        <v>0</v>
      </c>
      <c r="E138" s="315">
        <v>0</v>
      </c>
      <c r="F138" s="121"/>
      <c r="G138" s="122">
        <f t="shared" si="48"/>
        <v>0</v>
      </c>
      <c r="H138" s="123" t="str">
        <f t="shared" si="49"/>
        <v>-</v>
      </c>
      <c r="I138" s="143"/>
      <c r="J138" s="315">
        <v>0</v>
      </c>
      <c r="K138" s="121"/>
      <c r="L138" s="122">
        <f t="shared" si="50"/>
        <v>0</v>
      </c>
      <c r="M138" s="123" t="str">
        <f t="shared" si="51"/>
        <v>-</v>
      </c>
      <c r="N138" s="143"/>
      <c r="O138" s="315">
        <v>0</v>
      </c>
      <c r="P138" s="121"/>
      <c r="Q138" s="122">
        <f t="shared" si="52"/>
        <v>0</v>
      </c>
      <c r="R138" s="123" t="str">
        <f t="shared" si="53"/>
        <v>-</v>
      </c>
      <c r="S138" s="143"/>
      <c r="T138" s="315">
        <v>0</v>
      </c>
      <c r="U138" s="121"/>
      <c r="V138" s="122">
        <f t="shared" si="54"/>
        <v>0</v>
      </c>
      <c r="W138" s="123" t="str">
        <f t="shared" si="55"/>
        <v>-</v>
      </c>
      <c r="X138" s="143"/>
    </row>
    <row r="139" spans="1:24" ht="46.5" customHeight="1" x14ac:dyDescent="0.2">
      <c r="A139" s="99">
        <v>2800</v>
      </c>
      <c r="B139" s="153" t="s">
        <v>181</v>
      </c>
      <c r="C139" s="303">
        <v>0</v>
      </c>
      <c r="D139" s="320">
        <v>0</v>
      </c>
      <c r="E139" s="320">
        <v>0</v>
      </c>
      <c r="F139" s="303"/>
      <c r="G139" s="148"/>
      <c r="H139" s="149"/>
      <c r="I139" s="304"/>
      <c r="J139" s="320">
        <v>0</v>
      </c>
      <c r="K139" s="303"/>
      <c r="L139" s="148"/>
      <c r="M139" s="149"/>
      <c r="N139" s="304"/>
      <c r="O139" s="320">
        <v>0</v>
      </c>
      <c r="P139" s="303"/>
      <c r="Q139" s="148"/>
      <c r="R139" s="149"/>
      <c r="S139" s="304"/>
      <c r="T139" s="320">
        <v>0</v>
      </c>
      <c r="U139" s="303"/>
      <c r="V139" s="148"/>
      <c r="W139" s="149"/>
      <c r="X139" s="304"/>
    </row>
    <row r="140" spans="1:24" ht="46.5" customHeight="1" x14ac:dyDescent="0.2">
      <c r="A140" s="245">
        <v>4000</v>
      </c>
      <c r="B140" s="255" t="s">
        <v>182</v>
      </c>
      <c r="C140" s="246">
        <v>0</v>
      </c>
      <c r="D140" s="311">
        <v>0</v>
      </c>
      <c r="E140" s="311">
        <v>0</v>
      </c>
      <c r="F140" s="246">
        <f>F141+F142+F143</f>
        <v>0</v>
      </c>
      <c r="G140" s="247">
        <f t="shared" si="48"/>
        <v>0</v>
      </c>
      <c r="H140" s="248" t="str">
        <f t="shared" si="49"/>
        <v>-</v>
      </c>
      <c r="I140" s="249"/>
      <c r="J140" s="311">
        <v>0</v>
      </c>
      <c r="K140" s="246">
        <f>K141+K142+K143</f>
        <v>0</v>
      </c>
      <c r="L140" s="247">
        <f t="shared" si="50"/>
        <v>0</v>
      </c>
      <c r="M140" s="248" t="str">
        <f t="shared" si="51"/>
        <v>-</v>
      </c>
      <c r="N140" s="249"/>
      <c r="O140" s="311">
        <v>0</v>
      </c>
      <c r="P140" s="246">
        <f>P141+P142+P143</f>
        <v>0</v>
      </c>
      <c r="Q140" s="247">
        <f t="shared" si="52"/>
        <v>0</v>
      </c>
      <c r="R140" s="248" t="str">
        <f t="shared" si="53"/>
        <v>-</v>
      </c>
      <c r="S140" s="249"/>
      <c r="T140" s="311">
        <v>0</v>
      </c>
      <c r="U140" s="246">
        <f>U141+U142+U143</f>
        <v>0</v>
      </c>
      <c r="V140" s="247">
        <f t="shared" si="54"/>
        <v>0</v>
      </c>
      <c r="W140" s="248" t="str">
        <f t="shared" si="55"/>
        <v>-</v>
      </c>
      <c r="X140" s="249"/>
    </row>
    <row r="141" spans="1:24" s="253" customFormat="1" ht="46.5" customHeight="1" x14ac:dyDescent="0.2">
      <c r="A141" s="262">
        <v>4100</v>
      </c>
      <c r="B141" s="137" t="s">
        <v>183</v>
      </c>
      <c r="C141" s="244">
        <v>0</v>
      </c>
      <c r="D141" s="318">
        <v>0</v>
      </c>
      <c r="E141" s="318">
        <v>0</v>
      </c>
      <c r="F141" s="244"/>
      <c r="G141" s="122">
        <f t="shared" si="48"/>
        <v>0</v>
      </c>
      <c r="H141" s="123" t="str">
        <f t="shared" si="49"/>
        <v>-</v>
      </c>
      <c r="I141" s="263"/>
      <c r="J141" s="318">
        <v>0</v>
      </c>
      <c r="K141" s="244"/>
      <c r="L141" s="122"/>
      <c r="M141" s="123" t="str">
        <f t="shared" si="51"/>
        <v>-</v>
      </c>
      <c r="N141" s="263"/>
      <c r="O141" s="318">
        <v>0</v>
      </c>
      <c r="P141" s="244"/>
      <c r="Q141" s="122">
        <f t="shared" si="52"/>
        <v>0</v>
      </c>
      <c r="R141" s="123" t="str">
        <f t="shared" si="53"/>
        <v>-</v>
      </c>
      <c r="S141" s="263"/>
      <c r="T141" s="318">
        <v>0</v>
      </c>
      <c r="U141" s="244"/>
      <c r="V141" s="122">
        <f t="shared" si="54"/>
        <v>0</v>
      </c>
      <c r="W141" s="123" t="str">
        <f t="shared" si="55"/>
        <v>-</v>
      </c>
      <c r="X141" s="263"/>
    </row>
    <row r="142" spans="1:24" s="253" customFormat="1" ht="46.5" customHeight="1" x14ac:dyDescent="0.2">
      <c r="A142" s="262">
        <v>4200</v>
      </c>
      <c r="B142" s="140" t="s">
        <v>184</v>
      </c>
      <c r="C142" s="254">
        <v>0</v>
      </c>
      <c r="D142" s="318">
        <v>0</v>
      </c>
      <c r="E142" s="318">
        <v>0</v>
      </c>
      <c r="F142" s="244"/>
      <c r="G142" s="122">
        <f t="shared" si="48"/>
        <v>0</v>
      </c>
      <c r="H142" s="123" t="str">
        <f t="shared" si="49"/>
        <v>-</v>
      </c>
      <c r="I142" s="263"/>
      <c r="J142" s="318">
        <v>0</v>
      </c>
      <c r="K142" s="244"/>
      <c r="L142" s="122">
        <f t="shared" si="50"/>
        <v>0</v>
      </c>
      <c r="M142" s="123" t="str">
        <f t="shared" si="51"/>
        <v>-</v>
      </c>
      <c r="N142" s="263"/>
      <c r="O142" s="318">
        <v>0</v>
      </c>
      <c r="P142" s="244"/>
      <c r="Q142" s="122">
        <f t="shared" si="52"/>
        <v>0</v>
      </c>
      <c r="R142" s="123" t="str">
        <f t="shared" si="53"/>
        <v>-</v>
      </c>
      <c r="S142" s="263"/>
      <c r="T142" s="318">
        <v>0</v>
      </c>
      <c r="U142" s="244"/>
      <c r="V142" s="122">
        <f t="shared" si="54"/>
        <v>0</v>
      </c>
      <c r="W142" s="123" t="str">
        <f t="shared" si="55"/>
        <v>-</v>
      </c>
      <c r="X142" s="263"/>
    </row>
    <row r="143" spans="1:24" s="253" customFormat="1" ht="46.5" customHeight="1" x14ac:dyDescent="0.2">
      <c r="A143" s="131">
        <v>4300</v>
      </c>
      <c r="B143" s="137" t="s">
        <v>185</v>
      </c>
      <c r="C143" s="244">
        <v>0</v>
      </c>
      <c r="D143" s="318">
        <v>0</v>
      </c>
      <c r="E143" s="318">
        <v>0</v>
      </c>
      <c r="F143" s="244"/>
      <c r="G143" s="122">
        <f t="shared" si="48"/>
        <v>0</v>
      </c>
      <c r="H143" s="123" t="str">
        <f t="shared" si="49"/>
        <v>-</v>
      </c>
      <c r="I143" s="263"/>
      <c r="J143" s="318">
        <v>0</v>
      </c>
      <c r="K143" s="244"/>
      <c r="L143" s="122">
        <f t="shared" si="50"/>
        <v>0</v>
      </c>
      <c r="M143" s="123" t="str">
        <f t="shared" si="51"/>
        <v>-</v>
      </c>
      <c r="N143" s="263"/>
      <c r="O143" s="318">
        <v>0</v>
      </c>
      <c r="P143" s="244"/>
      <c r="Q143" s="122">
        <f t="shared" si="52"/>
        <v>0</v>
      </c>
      <c r="R143" s="123" t="str">
        <f t="shared" si="53"/>
        <v>-</v>
      </c>
      <c r="S143" s="263"/>
      <c r="T143" s="318">
        <v>0</v>
      </c>
      <c r="U143" s="244"/>
      <c r="V143" s="122">
        <f t="shared" si="54"/>
        <v>0</v>
      </c>
      <c r="W143" s="123" t="str">
        <f t="shared" si="55"/>
        <v>-</v>
      </c>
      <c r="X143" s="263"/>
    </row>
    <row r="144" spans="1:24" ht="46.5" customHeight="1" x14ac:dyDescent="0.2">
      <c r="A144" s="273" t="s">
        <v>186</v>
      </c>
      <c r="B144" s="274" t="s">
        <v>187</v>
      </c>
      <c r="C144" s="275">
        <v>29679351.249999996</v>
      </c>
      <c r="D144" s="310">
        <v>30192902.380000003</v>
      </c>
      <c r="E144" s="310">
        <v>7339111.5100000007</v>
      </c>
      <c r="F144" s="275">
        <f>F32</f>
        <v>0</v>
      </c>
      <c r="G144" s="276">
        <f t="shared" si="48"/>
        <v>-7339111.5100000007</v>
      </c>
      <c r="H144" s="277">
        <f t="shared" si="49"/>
        <v>-1</v>
      </c>
      <c r="I144" s="278"/>
      <c r="J144" s="310">
        <v>14817175.360000001</v>
      </c>
      <c r="K144" s="275">
        <f>K32</f>
        <v>0</v>
      </c>
      <c r="L144" s="276">
        <f t="shared" si="50"/>
        <v>-14817175.360000001</v>
      </c>
      <c r="M144" s="277">
        <f t="shared" si="51"/>
        <v>-1</v>
      </c>
      <c r="N144" s="278"/>
      <c r="O144" s="310">
        <v>22347764.710000001</v>
      </c>
      <c r="P144" s="275">
        <f>P32</f>
        <v>0</v>
      </c>
      <c r="Q144" s="276">
        <f t="shared" si="52"/>
        <v>-22347764.710000001</v>
      </c>
      <c r="R144" s="277">
        <f t="shared" si="53"/>
        <v>-1</v>
      </c>
      <c r="S144" s="278"/>
      <c r="T144" s="310">
        <v>30192902.380000003</v>
      </c>
      <c r="U144" s="275">
        <f>U32</f>
        <v>0</v>
      </c>
      <c r="V144" s="276">
        <f t="shared" si="54"/>
        <v>-30192902.380000003</v>
      </c>
      <c r="W144" s="277">
        <f t="shared" si="55"/>
        <v>-1</v>
      </c>
      <c r="X144" s="278"/>
    </row>
    <row r="145" spans="1:24" ht="46.5" customHeight="1" x14ac:dyDescent="0.2">
      <c r="A145" s="273" t="s">
        <v>188</v>
      </c>
      <c r="B145" s="274" t="s">
        <v>189</v>
      </c>
      <c r="C145" s="275">
        <v>506093.54999999981</v>
      </c>
      <c r="D145" s="310">
        <v>-76108.860000004061</v>
      </c>
      <c r="E145" s="310">
        <v>442510.31999999937</v>
      </c>
      <c r="F145" s="275">
        <f>F3-F144</f>
        <v>0</v>
      </c>
      <c r="G145" s="276">
        <f t="shared" si="48"/>
        <v>-442510.31999999937</v>
      </c>
      <c r="H145" s="277">
        <f t="shared" si="49"/>
        <v>-1</v>
      </c>
      <c r="I145" s="278"/>
      <c r="J145" s="310">
        <v>417294.82999999775</v>
      </c>
      <c r="K145" s="275">
        <f>K3-K144</f>
        <v>0</v>
      </c>
      <c r="L145" s="276">
        <f t="shared" si="50"/>
        <v>-417294.82999999775</v>
      </c>
      <c r="M145" s="277">
        <f t="shared" si="51"/>
        <v>-1</v>
      </c>
      <c r="N145" s="278"/>
      <c r="O145" s="310">
        <v>332725.54999999655</v>
      </c>
      <c r="P145" s="275">
        <f>P3-P144</f>
        <v>0</v>
      </c>
      <c r="Q145" s="276">
        <f t="shared" si="52"/>
        <v>-332725.54999999655</v>
      </c>
      <c r="R145" s="277">
        <f t="shared" si="53"/>
        <v>-1</v>
      </c>
      <c r="S145" s="278"/>
      <c r="T145" s="310">
        <v>-76108.860000004061</v>
      </c>
      <c r="U145" s="275">
        <f>U3-U144</f>
        <v>0</v>
      </c>
      <c r="V145" s="276">
        <f t="shared" si="54"/>
        <v>76108.860000004061</v>
      </c>
      <c r="W145" s="277">
        <f t="shared" si="55"/>
        <v>1</v>
      </c>
      <c r="X145" s="278"/>
    </row>
    <row r="146" spans="1:24" s="2" customFormat="1" ht="46.5" customHeight="1" x14ac:dyDescent="0.2">
      <c r="A146" s="160">
        <v>5000</v>
      </c>
      <c r="B146" s="151" t="s">
        <v>190</v>
      </c>
      <c r="C146" s="157">
        <v>976080.6399999999</v>
      </c>
      <c r="D146" s="321">
        <v>1019184.5599999998</v>
      </c>
      <c r="E146" s="321">
        <v>283853.12</v>
      </c>
      <c r="F146" s="157">
        <f>F147+F148</f>
        <v>0</v>
      </c>
      <c r="G146" s="148">
        <f t="shared" si="48"/>
        <v>-283853.12</v>
      </c>
      <c r="H146" s="149">
        <f t="shared" si="49"/>
        <v>-1</v>
      </c>
      <c r="I146" s="158"/>
      <c r="J146" s="321">
        <v>528336.19999999995</v>
      </c>
      <c r="K146" s="157">
        <f>K147+K148</f>
        <v>0</v>
      </c>
      <c r="L146" s="148">
        <f t="shared" si="50"/>
        <v>-528336.19999999995</v>
      </c>
      <c r="M146" s="149">
        <f t="shared" si="51"/>
        <v>-1</v>
      </c>
      <c r="N146" s="158"/>
      <c r="O146" s="321">
        <v>773216.08</v>
      </c>
      <c r="P146" s="157">
        <f>P147+P148</f>
        <v>0</v>
      </c>
      <c r="Q146" s="148">
        <f t="shared" si="52"/>
        <v>-773216.08</v>
      </c>
      <c r="R146" s="149">
        <f t="shared" si="53"/>
        <v>-1</v>
      </c>
      <c r="S146" s="158"/>
      <c r="T146" s="321">
        <v>1019184.5599999998</v>
      </c>
      <c r="U146" s="157">
        <f>U147+U148</f>
        <v>0</v>
      </c>
      <c r="V146" s="148">
        <f t="shared" si="54"/>
        <v>-1019184.5599999998</v>
      </c>
      <c r="W146" s="149">
        <f t="shared" si="55"/>
        <v>-1</v>
      </c>
      <c r="X146" s="158"/>
    </row>
    <row r="147" spans="1:24" ht="46.5" customHeight="1" x14ac:dyDescent="0.2">
      <c r="A147" s="14">
        <v>5100</v>
      </c>
      <c r="B147" s="120" t="s">
        <v>191</v>
      </c>
      <c r="C147" s="114">
        <v>31160.009999999995</v>
      </c>
      <c r="D147" s="313">
        <v>44122.55000000001</v>
      </c>
      <c r="E147" s="313">
        <v>20771.27</v>
      </c>
      <c r="F147" s="114"/>
      <c r="G147" s="115">
        <f t="shared" si="48"/>
        <v>-20771.27</v>
      </c>
      <c r="H147" s="116">
        <f t="shared" si="49"/>
        <v>-1</v>
      </c>
      <c r="I147" s="139"/>
      <c r="J147" s="313">
        <v>28580</v>
      </c>
      <c r="K147" s="114"/>
      <c r="L147" s="115">
        <f t="shared" si="50"/>
        <v>-28580</v>
      </c>
      <c r="M147" s="116">
        <f t="shared" si="51"/>
        <v>-1</v>
      </c>
      <c r="N147" s="139"/>
      <c r="O147" s="313">
        <v>36358.65</v>
      </c>
      <c r="P147" s="114"/>
      <c r="Q147" s="115">
        <f t="shared" si="52"/>
        <v>-36358.65</v>
      </c>
      <c r="R147" s="116">
        <f t="shared" si="53"/>
        <v>-1</v>
      </c>
      <c r="S147" s="139"/>
      <c r="T147" s="313">
        <v>44122.55000000001</v>
      </c>
      <c r="U147" s="114"/>
      <c r="V147" s="115">
        <f t="shared" si="54"/>
        <v>-44122.55000000001</v>
      </c>
      <c r="W147" s="116">
        <f t="shared" si="55"/>
        <v>-1</v>
      </c>
      <c r="X147" s="139"/>
    </row>
    <row r="148" spans="1:24" s="253" customFormat="1" ht="46.5" customHeight="1" x14ac:dyDescent="0.2">
      <c r="A148" s="264">
        <v>5200</v>
      </c>
      <c r="B148" s="120" t="s">
        <v>192</v>
      </c>
      <c r="C148" s="254">
        <v>944920.63</v>
      </c>
      <c r="D148" s="318">
        <v>975062.01</v>
      </c>
      <c r="E148" s="318">
        <v>263081.84999999998</v>
      </c>
      <c r="F148" s="254"/>
      <c r="G148" s="122">
        <f t="shared" si="48"/>
        <v>-263081.84999999998</v>
      </c>
      <c r="H148" s="123">
        <f t="shared" si="49"/>
        <v>-1</v>
      </c>
      <c r="I148" s="731"/>
      <c r="J148" s="318">
        <v>499756.19999999995</v>
      </c>
      <c r="K148" s="254"/>
      <c r="L148" s="122">
        <f t="shared" si="50"/>
        <v>-499756.19999999995</v>
      </c>
      <c r="M148" s="123">
        <f t="shared" si="51"/>
        <v>-1</v>
      </c>
      <c r="N148" s="731"/>
      <c r="O148" s="318">
        <v>736857.43</v>
      </c>
      <c r="P148" s="254"/>
      <c r="Q148" s="122">
        <f t="shared" si="52"/>
        <v>-736857.43</v>
      </c>
      <c r="R148" s="123">
        <f t="shared" si="53"/>
        <v>-1</v>
      </c>
      <c r="S148" s="731"/>
      <c r="T148" s="318">
        <v>975062.01</v>
      </c>
      <c r="U148" s="254"/>
      <c r="V148" s="122">
        <f t="shared" si="54"/>
        <v>-975062.01</v>
      </c>
      <c r="W148" s="123">
        <f t="shared" si="55"/>
        <v>-1</v>
      </c>
      <c r="X148" s="731"/>
    </row>
    <row r="149" spans="1:24" ht="46.5" customHeight="1" x14ac:dyDescent="0.2">
      <c r="A149" s="265">
        <v>5210</v>
      </c>
      <c r="B149" s="58" t="s">
        <v>193</v>
      </c>
      <c r="C149" s="114">
        <v>0</v>
      </c>
      <c r="D149" s="313">
        <v>0</v>
      </c>
      <c r="E149" s="313">
        <v>0</v>
      </c>
      <c r="F149" s="114"/>
      <c r="G149" s="115">
        <f t="shared" si="48"/>
        <v>0</v>
      </c>
      <c r="H149" s="116" t="str">
        <f t="shared" si="49"/>
        <v>-</v>
      </c>
      <c r="I149" s="732"/>
      <c r="J149" s="313">
        <v>0</v>
      </c>
      <c r="K149" s="114"/>
      <c r="L149" s="115">
        <f t="shared" si="50"/>
        <v>0</v>
      </c>
      <c r="M149" s="116" t="str">
        <f t="shared" si="51"/>
        <v>-</v>
      </c>
      <c r="N149" s="732"/>
      <c r="O149" s="313">
        <v>0</v>
      </c>
      <c r="P149" s="114"/>
      <c r="Q149" s="115">
        <f t="shared" si="52"/>
        <v>0</v>
      </c>
      <c r="R149" s="116" t="str">
        <f t="shared" si="53"/>
        <v>-</v>
      </c>
      <c r="S149" s="732"/>
      <c r="T149" s="313">
        <v>0</v>
      </c>
      <c r="U149" s="114"/>
      <c r="V149" s="115">
        <f t="shared" si="54"/>
        <v>0</v>
      </c>
      <c r="W149" s="116" t="str">
        <f t="shared" si="55"/>
        <v>-</v>
      </c>
      <c r="X149" s="732"/>
    </row>
    <row r="150" spans="1:24" ht="46.5" customHeight="1" x14ac:dyDescent="0.2">
      <c r="A150" s="265">
        <v>5220</v>
      </c>
      <c r="B150" s="58" t="s">
        <v>194</v>
      </c>
      <c r="C150" s="114">
        <v>0</v>
      </c>
      <c r="D150" s="313">
        <v>0</v>
      </c>
      <c r="E150" s="313">
        <v>0</v>
      </c>
      <c r="F150" s="114"/>
      <c r="G150" s="115">
        <f t="shared" si="48"/>
        <v>0</v>
      </c>
      <c r="H150" s="116" t="str">
        <f t="shared" si="49"/>
        <v>-</v>
      </c>
      <c r="I150" s="732"/>
      <c r="J150" s="313">
        <v>0</v>
      </c>
      <c r="K150" s="114"/>
      <c r="L150" s="115">
        <f t="shared" si="50"/>
        <v>0</v>
      </c>
      <c r="M150" s="116" t="str">
        <f t="shared" si="51"/>
        <v>-</v>
      </c>
      <c r="N150" s="732"/>
      <c r="O150" s="313">
        <v>0</v>
      </c>
      <c r="P150" s="114"/>
      <c r="Q150" s="115">
        <f t="shared" si="52"/>
        <v>0</v>
      </c>
      <c r="R150" s="116" t="str">
        <f t="shared" si="53"/>
        <v>-</v>
      </c>
      <c r="S150" s="732"/>
      <c r="T150" s="313">
        <v>0</v>
      </c>
      <c r="U150" s="114"/>
      <c r="V150" s="115">
        <f t="shared" si="54"/>
        <v>0</v>
      </c>
      <c r="W150" s="116" t="str">
        <f t="shared" si="55"/>
        <v>-</v>
      </c>
      <c r="X150" s="732"/>
    </row>
    <row r="151" spans="1:24" ht="46.5" customHeight="1" x14ac:dyDescent="0.2">
      <c r="A151" s="265">
        <v>5230</v>
      </c>
      <c r="B151" s="58" t="s">
        <v>195</v>
      </c>
      <c r="C151" s="114">
        <v>0</v>
      </c>
      <c r="D151" s="313">
        <v>0</v>
      </c>
      <c r="E151" s="313">
        <v>0</v>
      </c>
      <c r="F151" s="114"/>
      <c r="G151" s="115">
        <f t="shared" si="48"/>
        <v>0</v>
      </c>
      <c r="H151" s="116" t="str">
        <f t="shared" si="49"/>
        <v>-</v>
      </c>
      <c r="I151" s="732"/>
      <c r="J151" s="313">
        <v>0</v>
      </c>
      <c r="K151" s="114"/>
      <c r="L151" s="115">
        <f t="shared" si="50"/>
        <v>0</v>
      </c>
      <c r="M151" s="116" t="str">
        <f t="shared" si="51"/>
        <v>-</v>
      </c>
      <c r="N151" s="732"/>
      <c r="O151" s="313">
        <v>0</v>
      </c>
      <c r="P151" s="114"/>
      <c r="Q151" s="115">
        <f t="shared" si="52"/>
        <v>0</v>
      </c>
      <c r="R151" s="116" t="str">
        <f t="shared" si="53"/>
        <v>-</v>
      </c>
      <c r="S151" s="732"/>
      <c r="T151" s="313">
        <v>0</v>
      </c>
      <c r="U151" s="114"/>
      <c r="V151" s="115">
        <f t="shared" si="54"/>
        <v>0</v>
      </c>
      <c r="W151" s="116" t="str">
        <f t="shared" si="55"/>
        <v>-</v>
      </c>
      <c r="X151" s="732"/>
    </row>
    <row r="152" spans="1:24" ht="46.5" customHeight="1" x14ac:dyDescent="0.2">
      <c r="A152" s="265">
        <v>5240</v>
      </c>
      <c r="B152" s="58" t="s">
        <v>196</v>
      </c>
      <c r="C152" s="114">
        <v>0</v>
      </c>
      <c r="D152" s="313">
        <v>0</v>
      </c>
      <c r="E152" s="313">
        <v>0</v>
      </c>
      <c r="F152" s="114"/>
      <c r="G152" s="115">
        <f t="shared" si="48"/>
        <v>0</v>
      </c>
      <c r="H152" s="116" t="str">
        <f t="shared" si="49"/>
        <v>-</v>
      </c>
      <c r="I152" s="733"/>
      <c r="J152" s="313">
        <v>0</v>
      </c>
      <c r="K152" s="114"/>
      <c r="L152" s="115">
        <f t="shared" si="50"/>
        <v>0</v>
      </c>
      <c r="M152" s="116" t="str">
        <f t="shared" si="51"/>
        <v>-</v>
      </c>
      <c r="N152" s="733"/>
      <c r="O152" s="313">
        <v>0</v>
      </c>
      <c r="P152" s="114"/>
      <c r="Q152" s="115">
        <f t="shared" si="52"/>
        <v>0</v>
      </c>
      <c r="R152" s="116" t="str">
        <f t="shared" si="53"/>
        <v>-</v>
      </c>
      <c r="S152" s="733"/>
      <c r="T152" s="313">
        <v>0</v>
      </c>
      <c r="U152" s="114"/>
      <c r="V152" s="115">
        <f t="shared" si="54"/>
        <v>0</v>
      </c>
      <c r="W152" s="116" t="str">
        <f t="shared" si="55"/>
        <v>-</v>
      </c>
      <c r="X152" s="733"/>
    </row>
    <row r="153" spans="1:24" ht="46.5" customHeight="1" x14ac:dyDescent="0.2">
      <c r="A153" s="273" t="s">
        <v>197</v>
      </c>
      <c r="B153" s="274" t="s">
        <v>198</v>
      </c>
      <c r="C153" s="275">
        <v>-469987.09000000014</v>
      </c>
      <c r="D153" s="310">
        <v>-1095293.4200000039</v>
      </c>
      <c r="E153" s="310">
        <v>158657.19999999937</v>
      </c>
      <c r="F153" s="275">
        <f>F145-F146</f>
        <v>0</v>
      </c>
      <c r="G153" s="276">
        <f t="shared" si="48"/>
        <v>-158657.19999999937</v>
      </c>
      <c r="H153" s="353">
        <f t="shared" si="49"/>
        <v>-1</v>
      </c>
      <c r="I153" s="278"/>
      <c r="J153" s="310">
        <v>-111041.37000000225</v>
      </c>
      <c r="K153" s="275">
        <f>K145-K146</f>
        <v>0</v>
      </c>
      <c r="L153" s="276">
        <f t="shared" si="50"/>
        <v>111041.37000000225</v>
      </c>
      <c r="M153" s="277">
        <f t="shared" si="51"/>
        <v>1</v>
      </c>
      <c r="N153" s="278"/>
      <c r="O153" s="310">
        <v>-440490.5300000034</v>
      </c>
      <c r="P153" s="275">
        <f>P145-P146</f>
        <v>0</v>
      </c>
      <c r="Q153" s="276">
        <f t="shared" si="52"/>
        <v>440490.5300000034</v>
      </c>
      <c r="R153" s="277">
        <f t="shared" si="53"/>
        <v>1</v>
      </c>
      <c r="S153" s="278"/>
      <c r="T153" s="310">
        <v>-1095293.4200000039</v>
      </c>
      <c r="U153" s="275">
        <f>U145-U146</f>
        <v>0</v>
      </c>
      <c r="V153" s="276">
        <f t="shared" si="54"/>
        <v>1095293.4200000039</v>
      </c>
      <c r="W153" s="277">
        <f t="shared" si="55"/>
        <v>1</v>
      </c>
      <c r="X153" s="278"/>
    </row>
    <row r="154" spans="1:24" ht="46.5" customHeight="1" x14ac:dyDescent="0.2">
      <c r="A154" s="161" t="s">
        <v>199</v>
      </c>
      <c r="B154" s="151" t="s">
        <v>200</v>
      </c>
      <c r="C154" s="147">
        <f>66017.84-56</f>
        <v>65961.84</v>
      </c>
      <c r="D154" s="312">
        <v>65361.349999999991</v>
      </c>
      <c r="E154" s="312">
        <v>133.72999999999999</v>
      </c>
      <c r="F154" s="147">
        <f t="shared" ref="F154" si="56">SUM(F155:F162)</f>
        <v>0</v>
      </c>
      <c r="G154" s="148">
        <f t="shared" si="48"/>
        <v>-133.72999999999999</v>
      </c>
      <c r="H154" s="354">
        <f t="shared" si="49"/>
        <v>-1</v>
      </c>
      <c r="I154" s="744"/>
      <c r="J154" s="312">
        <v>299.92</v>
      </c>
      <c r="K154" s="147">
        <f t="shared" ref="K154" si="57">SUM(K155:K162)</f>
        <v>0</v>
      </c>
      <c r="L154" s="148">
        <f t="shared" si="50"/>
        <v>-299.92</v>
      </c>
      <c r="M154" s="149">
        <f t="shared" si="51"/>
        <v>-1</v>
      </c>
      <c r="N154" s="744"/>
      <c r="O154" s="312">
        <v>6395.7999999999993</v>
      </c>
      <c r="P154" s="147">
        <f t="shared" ref="P154" si="58">SUM(P155:P162)</f>
        <v>0</v>
      </c>
      <c r="Q154" s="148">
        <f t="shared" si="52"/>
        <v>-6395.7999999999993</v>
      </c>
      <c r="R154" s="149">
        <f t="shared" si="53"/>
        <v>-1</v>
      </c>
      <c r="S154" s="731"/>
      <c r="T154" s="312">
        <v>65361.349999999991</v>
      </c>
      <c r="U154" s="147">
        <f t="shared" ref="U154" si="59">SUM(U155:U162)</f>
        <v>0</v>
      </c>
      <c r="V154" s="148">
        <f t="shared" si="54"/>
        <v>-65361.349999999991</v>
      </c>
      <c r="W154" s="149">
        <f t="shared" si="55"/>
        <v>-1</v>
      </c>
      <c r="X154" s="731"/>
    </row>
    <row r="155" spans="1:24" ht="46.5" customHeight="1" x14ac:dyDescent="0.2">
      <c r="A155" s="144" t="s">
        <v>201</v>
      </c>
      <c r="B155" s="58" t="s">
        <v>202</v>
      </c>
      <c r="C155" s="114">
        <v>1551.41</v>
      </c>
      <c r="D155" s="313">
        <v>1657.8</v>
      </c>
      <c r="E155" s="313">
        <v>110.83</v>
      </c>
      <c r="F155" s="114"/>
      <c r="G155" s="115">
        <f t="shared" si="48"/>
        <v>-110.83</v>
      </c>
      <c r="H155" s="116">
        <f t="shared" si="49"/>
        <v>-1</v>
      </c>
      <c r="I155" s="745"/>
      <c r="J155" s="314">
        <v>241.39</v>
      </c>
      <c r="K155" s="114"/>
      <c r="L155" s="135">
        <f t="shared" si="50"/>
        <v>-241.39</v>
      </c>
      <c r="M155" s="136">
        <f t="shared" si="51"/>
        <v>-1</v>
      </c>
      <c r="N155" s="745"/>
      <c r="O155" s="313">
        <v>877.68000000000006</v>
      </c>
      <c r="P155" s="114"/>
      <c r="Q155" s="115">
        <f t="shared" si="52"/>
        <v>-877.68000000000006</v>
      </c>
      <c r="R155" s="116">
        <f t="shared" si="53"/>
        <v>-1</v>
      </c>
      <c r="S155" s="732"/>
      <c r="T155" s="313">
        <v>1657.8</v>
      </c>
      <c r="U155" s="114"/>
      <c r="V155" s="115">
        <f t="shared" si="54"/>
        <v>-1657.8</v>
      </c>
      <c r="W155" s="116">
        <f t="shared" si="55"/>
        <v>-1</v>
      </c>
      <c r="X155" s="732"/>
    </row>
    <row r="156" spans="1:24" ht="46.5" customHeight="1" x14ac:dyDescent="0.2">
      <c r="A156" s="144" t="s">
        <v>203</v>
      </c>
      <c r="B156" s="58" t="s">
        <v>204</v>
      </c>
      <c r="C156" s="114">
        <v>75.040000000000006</v>
      </c>
      <c r="D156" s="313">
        <v>69.290000000000006</v>
      </c>
      <c r="E156" s="313">
        <v>15.9</v>
      </c>
      <c r="F156" s="114"/>
      <c r="G156" s="115">
        <f t="shared" si="48"/>
        <v>-15.9</v>
      </c>
      <c r="H156" s="116">
        <f t="shared" si="49"/>
        <v>-1</v>
      </c>
      <c r="I156" s="745"/>
      <c r="J156" s="313">
        <v>47.53</v>
      </c>
      <c r="K156" s="114"/>
      <c r="L156" s="115">
        <f t="shared" si="50"/>
        <v>-47.53</v>
      </c>
      <c r="M156" s="116">
        <f t="shared" si="51"/>
        <v>-1</v>
      </c>
      <c r="N156" s="745"/>
      <c r="O156" s="314">
        <v>62.71</v>
      </c>
      <c r="P156" s="114"/>
      <c r="Q156" s="115">
        <f t="shared" si="52"/>
        <v>-62.71</v>
      </c>
      <c r="R156" s="116">
        <f t="shared" si="53"/>
        <v>-1</v>
      </c>
      <c r="S156" s="732"/>
      <c r="T156" s="313">
        <v>69.290000000000006</v>
      </c>
      <c r="U156" s="114"/>
      <c r="V156" s="115">
        <f t="shared" si="54"/>
        <v>-69.290000000000006</v>
      </c>
      <c r="W156" s="116">
        <f t="shared" si="55"/>
        <v>-1</v>
      </c>
      <c r="X156" s="732"/>
    </row>
    <row r="157" spans="1:24" ht="46.5" customHeight="1" x14ac:dyDescent="0.2">
      <c r="A157" s="144" t="s">
        <v>205</v>
      </c>
      <c r="B157" s="58" t="s">
        <v>206</v>
      </c>
      <c r="C157" s="114">
        <v>0</v>
      </c>
      <c r="D157" s="313">
        <v>0</v>
      </c>
      <c r="E157" s="313">
        <v>0</v>
      </c>
      <c r="F157" s="114"/>
      <c r="G157" s="115">
        <f t="shared" si="48"/>
        <v>0</v>
      </c>
      <c r="H157" s="116" t="str">
        <f t="shared" si="49"/>
        <v>-</v>
      </c>
      <c r="I157" s="745"/>
      <c r="J157" s="313">
        <v>0</v>
      </c>
      <c r="K157" s="114"/>
      <c r="L157" s="115">
        <f t="shared" si="50"/>
        <v>0</v>
      </c>
      <c r="M157" s="116" t="str">
        <f t="shared" si="51"/>
        <v>-</v>
      </c>
      <c r="N157" s="745"/>
      <c r="O157" s="313">
        <v>0</v>
      </c>
      <c r="P157" s="114"/>
      <c r="Q157" s="115">
        <f t="shared" si="52"/>
        <v>0</v>
      </c>
      <c r="R157" s="116" t="str">
        <f t="shared" si="53"/>
        <v>-</v>
      </c>
      <c r="S157" s="732"/>
      <c r="T157" s="313">
        <v>0</v>
      </c>
      <c r="U157" s="114"/>
      <c r="V157" s="115">
        <f t="shared" si="54"/>
        <v>0</v>
      </c>
      <c r="W157" s="116" t="str">
        <f t="shared" si="55"/>
        <v>-</v>
      </c>
      <c r="X157" s="732"/>
    </row>
    <row r="158" spans="1:24" ht="46.5" customHeight="1" x14ac:dyDescent="0.2">
      <c r="A158" s="144" t="s">
        <v>207</v>
      </c>
      <c r="B158" s="58" t="s">
        <v>208</v>
      </c>
      <c r="C158" s="114">
        <v>0</v>
      </c>
      <c r="D158" s="313">
        <v>0</v>
      </c>
      <c r="E158" s="313">
        <v>0</v>
      </c>
      <c r="F158" s="114"/>
      <c r="G158" s="115">
        <f t="shared" si="48"/>
        <v>0</v>
      </c>
      <c r="H158" s="116" t="str">
        <f t="shared" si="49"/>
        <v>-</v>
      </c>
      <c r="I158" s="745"/>
      <c r="J158" s="313">
        <v>0</v>
      </c>
      <c r="K158" s="114"/>
      <c r="L158" s="115">
        <f t="shared" si="50"/>
        <v>0</v>
      </c>
      <c r="M158" s="116" t="str">
        <f t="shared" si="51"/>
        <v>-</v>
      </c>
      <c r="N158" s="745"/>
      <c r="O158" s="313">
        <v>0</v>
      </c>
      <c r="P158" s="114"/>
      <c r="Q158" s="115">
        <f t="shared" si="52"/>
        <v>0</v>
      </c>
      <c r="R158" s="116" t="str">
        <f t="shared" si="53"/>
        <v>-</v>
      </c>
      <c r="S158" s="732"/>
      <c r="T158" s="313">
        <v>0</v>
      </c>
      <c r="U158" s="114"/>
      <c r="V158" s="115">
        <f t="shared" si="54"/>
        <v>0</v>
      </c>
      <c r="W158" s="116" t="str">
        <f t="shared" si="55"/>
        <v>-</v>
      </c>
      <c r="X158" s="732"/>
    </row>
    <row r="159" spans="1:24" ht="46.5" customHeight="1" x14ac:dyDescent="0.2">
      <c r="A159" s="144" t="s">
        <v>209</v>
      </c>
      <c r="B159" s="58" t="s">
        <v>210</v>
      </c>
      <c r="C159" s="114">
        <v>0</v>
      </c>
      <c r="D159" s="313">
        <v>0</v>
      </c>
      <c r="E159" s="313">
        <v>0</v>
      </c>
      <c r="F159" s="114"/>
      <c r="G159" s="115">
        <f t="shared" si="48"/>
        <v>0</v>
      </c>
      <c r="H159" s="116" t="str">
        <f t="shared" si="49"/>
        <v>-</v>
      </c>
      <c r="I159" s="745"/>
      <c r="J159" s="313">
        <v>0</v>
      </c>
      <c r="K159" s="114"/>
      <c r="L159" s="115">
        <f t="shared" si="50"/>
        <v>0</v>
      </c>
      <c r="M159" s="116" t="str">
        <f t="shared" si="51"/>
        <v>-</v>
      </c>
      <c r="N159" s="745"/>
      <c r="O159" s="313">
        <v>0</v>
      </c>
      <c r="P159" s="114"/>
      <c r="Q159" s="115">
        <f t="shared" si="52"/>
        <v>0</v>
      </c>
      <c r="R159" s="116" t="str">
        <f t="shared" si="53"/>
        <v>-</v>
      </c>
      <c r="S159" s="732"/>
      <c r="T159" s="313">
        <v>0</v>
      </c>
      <c r="U159" s="114"/>
      <c r="V159" s="115">
        <f t="shared" si="54"/>
        <v>0</v>
      </c>
      <c r="W159" s="116" t="str">
        <f t="shared" si="55"/>
        <v>-</v>
      </c>
      <c r="X159" s="732"/>
    </row>
    <row r="160" spans="1:24" ht="46.5" customHeight="1" x14ac:dyDescent="0.2">
      <c r="A160" s="144" t="s">
        <v>211</v>
      </c>
      <c r="B160" s="58" t="s">
        <v>212</v>
      </c>
      <c r="C160" s="114">
        <v>0</v>
      </c>
      <c r="D160" s="313">
        <v>0</v>
      </c>
      <c r="E160" s="313">
        <v>0</v>
      </c>
      <c r="F160" s="114"/>
      <c r="G160" s="115">
        <f t="shared" si="48"/>
        <v>0</v>
      </c>
      <c r="H160" s="116" t="str">
        <f t="shared" si="49"/>
        <v>-</v>
      </c>
      <c r="I160" s="745"/>
      <c r="J160" s="313">
        <v>0</v>
      </c>
      <c r="K160" s="114"/>
      <c r="L160" s="115">
        <f t="shared" si="50"/>
        <v>0</v>
      </c>
      <c r="M160" s="116" t="str">
        <f t="shared" si="51"/>
        <v>-</v>
      </c>
      <c r="N160" s="745"/>
      <c r="O160" s="313">
        <v>0</v>
      </c>
      <c r="P160" s="114"/>
      <c r="Q160" s="115">
        <f t="shared" si="52"/>
        <v>0</v>
      </c>
      <c r="R160" s="116" t="str">
        <f t="shared" si="53"/>
        <v>-</v>
      </c>
      <c r="S160" s="732"/>
      <c r="T160" s="313">
        <v>0</v>
      </c>
      <c r="U160" s="114"/>
      <c r="V160" s="115">
        <f t="shared" si="54"/>
        <v>0</v>
      </c>
      <c r="W160" s="116" t="str">
        <f t="shared" si="55"/>
        <v>-</v>
      </c>
      <c r="X160" s="732"/>
    </row>
    <row r="161" spans="1:24" ht="46.5" customHeight="1" x14ac:dyDescent="0.2">
      <c r="A161" s="144" t="s">
        <v>213</v>
      </c>
      <c r="B161" s="58" t="s">
        <v>214</v>
      </c>
      <c r="C161" s="114">
        <v>0</v>
      </c>
      <c r="D161" s="313">
        <v>0</v>
      </c>
      <c r="E161" s="313">
        <v>0</v>
      </c>
      <c r="F161" s="114"/>
      <c r="G161" s="115">
        <f t="shared" si="48"/>
        <v>0</v>
      </c>
      <c r="H161" s="116" t="str">
        <f t="shared" si="49"/>
        <v>-</v>
      </c>
      <c r="I161" s="746"/>
      <c r="J161" s="313">
        <v>0</v>
      </c>
      <c r="K161" s="114"/>
      <c r="L161" s="115">
        <f t="shared" si="50"/>
        <v>0</v>
      </c>
      <c r="M161" s="116" t="str">
        <f t="shared" si="51"/>
        <v>-</v>
      </c>
      <c r="N161" s="746"/>
      <c r="O161" s="313">
        <v>0</v>
      </c>
      <c r="P161" s="114"/>
      <c r="Q161" s="115">
        <f t="shared" si="52"/>
        <v>0</v>
      </c>
      <c r="R161" s="116" t="str">
        <f t="shared" si="53"/>
        <v>-</v>
      </c>
      <c r="S161" s="733"/>
      <c r="T161" s="313">
        <v>0</v>
      </c>
      <c r="U161" s="114"/>
      <c r="V161" s="115">
        <f t="shared" si="54"/>
        <v>0</v>
      </c>
      <c r="W161" s="116" t="str">
        <f t="shared" si="55"/>
        <v>-</v>
      </c>
      <c r="X161" s="733"/>
    </row>
    <row r="162" spans="1:24" ht="46.5" customHeight="1" x14ac:dyDescent="0.2">
      <c r="A162" s="144" t="s">
        <v>215</v>
      </c>
      <c r="B162" s="58" t="s">
        <v>42</v>
      </c>
      <c r="C162" s="114">
        <f>64391.39-56</f>
        <v>64335.39</v>
      </c>
      <c r="D162" s="313">
        <v>63634.26</v>
      </c>
      <c r="E162" s="313">
        <v>7</v>
      </c>
      <c r="F162" s="114"/>
      <c r="G162" s="115">
        <f t="shared" si="48"/>
        <v>-7</v>
      </c>
      <c r="H162" s="116">
        <f t="shared" si="49"/>
        <v>-1</v>
      </c>
      <c r="I162" s="139"/>
      <c r="J162" s="313">
        <v>11</v>
      </c>
      <c r="K162" s="114"/>
      <c r="L162" s="115">
        <f t="shared" si="50"/>
        <v>-11</v>
      </c>
      <c r="M162" s="116">
        <f t="shared" si="51"/>
        <v>-1</v>
      </c>
      <c r="N162" s="139"/>
      <c r="O162" s="314">
        <v>5455.41</v>
      </c>
      <c r="P162" s="114"/>
      <c r="Q162" s="115">
        <f t="shared" si="52"/>
        <v>-5455.41</v>
      </c>
      <c r="R162" s="116">
        <f t="shared" si="53"/>
        <v>-1</v>
      </c>
      <c r="S162" s="139"/>
      <c r="T162" s="313">
        <v>63634.26</v>
      </c>
      <c r="U162" s="114"/>
      <c r="V162" s="115">
        <f t="shared" si="54"/>
        <v>-63634.26</v>
      </c>
      <c r="W162" s="116">
        <f t="shared" si="55"/>
        <v>-1</v>
      </c>
      <c r="X162" s="139"/>
    </row>
    <row r="163" spans="1:24" ht="46.5" customHeight="1" x14ac:dyDescent="0.2">
      <c r="A163" s="273" t="s">
        <v>216</v>
      </c>
      <c r="B163" s="274" t="s">
        <v>217</v>
      </c>
      <c r="C163" s="275">
        <f>30251462.64-56</f>
        <v>30251406.640000001</v>
      </c>
      <c r="D163" s="310">
        <v>30182154.869999997</v>
      </c>
      <c r="E163" s="310">
        <v>7781755.5600000005</v>
      </c>
      <c r="F163" s="275">
        <f>F3+F154</f>
        <v>0</v>
      </c>
      <c r="G163" s="276">
        <f t="shared" si="48"/>
        <v>-7781755.5600000005</v>
      </c>
      <c r="H163" s="277">
        <f t="shared" si="49"/>
        <v>-1</v>
      </c>
      <c r="I163" s="278"/>
      <c r="J163" s="310">
        <v>15234770.109999999</v>
      </c>
      <c r="K163" s="275">
        <f>K3+K154</f>
        <v>0</v>
      </c>
      <c r="L163" s="276">
        <f t="shared" si="50"/>
        <v>-15234770.109999999</v>
      </c>
      <c r="M163" s="277">
        <f t="shared" si="51"/>
        <v>-1</v>
      </c>
      <c r="N163" s="278"/>
      <c r="O163" s="310">
        <v>22686886.059999999</v>
      </c>
      <c r="P163" s="275">
        <f>P3+P154</f>
        <v>0</v>
      </c>
      <c r="Q163" s="276">
        <f t="shared" si="52"/>
        <v>-22686886.059999999</v>
      </c>
      <c r="R163" s="277">
        <f t="shared" si="53"/>
        <v>-1</v>
      </c>
      <c r="S163" s="278"/>
      <c r="T163" s="310">
        <v>30182154.869999997</v>
      </c>
      <c r="U163" s="275">
        <f>U3+U154</f>
        <v>0</v>
      </c>
      <c r="V163" s="276">
        <f t="shared" si="54"/>
        <v>-30182154.869999997</v>
      </c>
      <c r="W163" s="277">
        <f t="shared" si="55"/>
        <v>-1</v>
      </c>
      <c r="X163" s="278"/>
    </row>
    <row r="164" spans="1:24" ht="46.5" customHeight="1" x14ac:dyDescent="0.2">
      <c r="A164" s="154">
        <v>8000</v>
      </c>
      <c r="B164" s="151" t="s">
        <v>218</v>
      </c>
      <c r="C164" s="147">
        <f>148959.95-56</f>
        <v>148903.95000000001</v>
      </c>
      <c r="D164" s="312">
        <v>150478.09999999998</v>
      </c>
      <c r="E164" s="312">
        <v>11988.44</v>
      </c>
      <c r="F164" s="147">
        <f>SUM(F165:F171)</f>
        <v>0</v>
      </c>
      <c r="G164" s="148">
        <f t="shared" si="48"/>
        <v>-11988.44</v>
      </c>
      <c r="H164" s="149">
        <f t="shared" si="49"/>
        <v>-1</v>
      </c>
      <c r="I164" s="737"/>
      <c r="J164" s="312">
        <v>19781.140000000003</v>
      </c>
      <c r="K164" s="147">
        <f>SUM(K165:K171)</f>
        <v>0</v>
      </c>
      <c r="L164" s="148">
        <f t="shared" si="50"/>
        <v>-19781.140000000003</v>
      </c>
      <c r="M164" s="149">
        <f t="shared" si="51"/>
        <v>-1</v>
      </c>
      <c r="N164" s="737"/>
      <c r="O164" s="312">
        <v>27605.170000000002</v>
      </c>
      <c r="P164" s="147">
        <f>SUM(P165:P171)</f>
        <v>0</v>
      </c>
      <c r="Q164" s="148">
        <f t="shared" si="52"/>
        <v>-27605.170000000002</v>
      </c>
      <c r="R164" s="149">
        <f t="shared" si="53"/>
        <v>-1</v>
      </c>
      <c r="S164" s="731"/>
      <c r="T164" s="312">
        <v>150478.09999999998</v>
      </c>
      <c r="U164" s="147">
        <f>SUM(U165:U171)</f>
        <v>0</v>
      </c>
      <c r="V164" s="148">
        <f t="shared" si="54"/>
        <v>-150478.09999999998</v>
      </c>
      <c r="W164" s="149">
        <f t="shared" si="55"/>
        <v>-1</v>
      </c>
      <c r="X164" s="731"/>
    </row>
    <row r="165" spans="1:24" ht="46.5" customHeight="1" x14ac:dyDescent="0.2">
      <c r="A165" s="73">
        <v>8100</v>
      </c>
      <c r="B165" s="58" t="s">
        <v>219</v>
      </c>
      <c r="C165" s="114">
        <v>0</v>
      </c>
      <c r="D165" s="313">
        <v>0</v>
      </c>
      <c r="E165" s="313">
        <v>0</v>
      </c>
      <c r="F165" s="114"/>
      <c r="G165" s="115">
        <f t="shared" si="48"/>
        <v>0</v>
      </c>
      <c r="H165" s="116" t="str">
        <f t="shared" si="49"/>
        <v>-</v>
      </c>
      <c r="I165" s="738"/>
      <c r="J165" s="313">
        <v>0</v>
      </c>
      <c r="K165" s="114"/>
      <c r="L165" s="135">
        <f t="shared" si="50"/>
        <v>0</v>
      </c>
      <c r="M165" s="136" t="str">
        <f t="shared" si="51"/>
        <v>-</v>
      </c>
      <c r="N165" s="738"/>
      <c r="O165" s="313">
        <v>0</v>
      </c>
      <c r="P165" s="114"/>
      <c r="Q165" s="115">
        <f t="shared" si="52"/>
        <v>0</v>
      </c>
      <c r="R165" s="116" t="str">
        <f t="shared" si="53"/>
        <v>-</v>
      </c>
      <c r="S165" s="732"/>
      <c r="T165" s="313">
        <v>0</v>
      </c>
      <c r="U165" s="114"/>
      <c r="V165" s="115">
        <f t="shared" si="54"/>
        <v>0</v>
      </c>
      <c r="W165" s="116" t="str">
        <f t="shared" si="55"/>
        <v>-</v>
      </c>
      <c r="X165" s="732"/>
    </row>
    <row r="166" spans="1:24" ht="46.5" customHeight="1" x14ac:dyDescent="0.2">
      <c r="A166" s="73">
        <v>8200</v>
      </c>
      <c r="B166" s="58" t="s">
        <v>220</v>
      </c>
      <c r="C166" s="114">
        <v>0</v>
      </c>
      <c r="D166" s="313">
        <v>0</v>
      </c>
      <c r="E166" s="313">
        <v>0</v>
      </c>
      <c r="F166" s="114"/>
      <c r="G166" s="115">
        <f t="shared" si="48"/>
        <v>0</v>
      </c>
      <c r="H166" s="116" t="str">
        <f t="shared" si="49"/>
        <v>-</v>
      </c>
      <c r="I166" s="738"/>
      <c r="J166" s="313">
        <v>0</v>
      </c>
      <c r="K166" s="114"/>
      <c r="L166" s="135">
        <f t="shared" si="50"/>
        <v>0</v>
      </c>
      <c r="M166" s="136" t="str">
        <f t="shared" si="51"/>
        <v>-</v>
      </c>
      <c r="N166" s="738"/>
      <c r="O166" s="313">
        <v>0</v>
      </c>
      <c r="P166" s="114"/>
      <c r="Q166" s="115">
        <f t="shared" si="52"/>
        <v>0</v>
      </c>
      <c r="R166" s="116" t="str">
        <f t="shared" si="53"/>
        <v>-</v>
      </c>
      <c r="S166" s="732"/>
      <c r="T166" s="313">
        <v>0</v>
      </c>
      <c r="U166" s="114"/>
      <c r="V166" s="115">
        <f t="shared" si="54"/>
        <v>0</v>
      </c>
      <c r="W166" s="116" t="str">
        <f t="shared" si="55"/>
        <v>-</v>
      </c>
      <c r="X166" s="732"/>
    </row>
    <row r="167" spans="1:24" ht="46.5" customHeight="1" x14ac:dyDescent="0.2">
      <c r="A167" s="73">
        <v>8300</v>
      </c>
      <c r="B167" s="58" t="s">
        <v>221</v>
      </c>
      <c r="C167" s="114">
        <v>5770.13</v>
      </c>
      <c r="D167" s="313">
        <v>5770.13</v>
      </c>
      <c r="E167" s="313">
        <v>0</v>
      </c>
      <c r="F167" s="118"/>
      <c r="G167" s="135">
        <f t="shared" si="48"/>
        <v>0</v>
      </c>
      <c r="H167" s="136" t="str">
        <f t="shared" si="49"/>
        <v>-</v>
      </c>
      <c r="I167" s="738"/>
      <c r="J167" s="313">
        <v>0</v>
      </c>
      <c r="K167" s="118"/>
      <c r="L167" s="135">
        <f t="shared" si="50"/>
        <v>0</v>
      </c>
      <c r="M167" s="136" t="str">
        <f t="shared" si="51"/>
        <v>-</v>
      </c>
      <c r="N167" s="738"/>
      <c r="O167" s="314">
        <v>471.63</v>
      </c>
      <c r="P167" s="118"/>
      <c r="Q167" s="115">
        <f t="shared" si="52"/>
        <v>-471.63</v>
      </c>
      <c r="R167" s="116">
        <f t="shared" si="53"/>
        <v>-1</v>
      </c>
      <c r="S167" s="732"/>
      <c r="T167" s="314">
        <v>5770.13</v>
      </c>
      <c r="U167" s="118"/>
      <c r="V167" s="115">
        <f t="shared" si="54"/>
        <v>-5770.13</v>
      </c>
      <c r="W167" s="116">
        <f t="shared" si="55"/>
        <v>-1</v>
      </c>
      <c r="X167" s="732"/>
    </row>
    <row r="168" spans="1:24" ht="46.5" customHeight="1" x14ac:dyDescent="0.2">
      <c r="A168" s="73">
        <v>8600</v>
      </c>
      <c r="B168" s="58" t="s">
        <v>222</v>
      </c>
      <c r="C168" s="114">
        <v>30203.19</v>
      </c>
      <c r="D168" s="313">
        <v>30203.19</v>
      </c>
      <c r="E168" s="313">
        <v>0</v>
      </c>
      <c r="F168" s="114"/>
      <c r="G168" s="115">
        <f t="shared" si="48"/>
        <v>0</v>
      </c>
      <c r="H168" s="116" t="str">
        <f t="shared" si="49"/>
        <v>-</v>
      </c>
      <c r="I168" s="738"/>
      <c r="J168" s="313">
        <v>0</v>
      </c>
      <c r="K168" s="114"/>
      <c r="L168" s="135">
        <f t="shared" si="50"/>
        <v>0</v>
      </c>
      <c r="M168" s="136" t="str">
        <f t="shared" si="51"/>
        <v>-</v>
      </c>
      <c r="N168" s="738"/>
      <c r="O168" s="313">
        <v>0</v>
      </c>
      <c r="P168" s="114"/>
      <c r="Q168" s="115">
        <f t="shared" si="52"/>
        <v>0</v>
      </c>
      <c r="R168" s="116" t="str">
        <f t="shared" si="53"/>
        <v>-</v>
      </c>
      <c r="S168" s="732"/>
      <c r="T168" s="313">
        <v>30203.19</v>
      </c>
      <c r="U168" s="114"/>
      <c r="V168" s="115">
        <f t="shared" si="54"/>
        <v>-30203.19</v>
      </c>
      <c r="W168" s="116">
        <f t="shared" si="55"/>
        <v>-1</v>
      </c>
      <c r="X168" s="732"/>
    </row>
    <row r="169" spans="1:24" ht="46.5" customHeight="1" x14ac:dyDescent="0.2">
      <c r="A169" s="73">
        <v>8700</v>
      </c>
      <c r="B169" s="58" t="s">
        <v>223</v>
      </c>
      <c r="C169" s="114">
        <v>74293</v>
      </c>
      <c r="D169" s="313">
        <v>74293</v>
      </c>
      <c r="E169" s="313">
        <v>0</v>
      </c>
      <c r="F169" s="114"/>
      <c r="G169" s="115">
        <f t="shared" si="48"/>
        <v>0</v>
      </c>
      <c r="H169" s="116" t="str">
        <f t="shared" si="49"/>
        <v>-</v>
      </c>
      <c r="I169" s="738"/>
      <c r="J169" s="313">
        <v>0</v>
      </c>
      <c r="K169" s="114"/>
      <c r="L169" s="135">
        <f t="shared" si="50"/>
        <v>0</v>
      </c>
      <c r="M169" s="136" t="str">
        <f t="shared" si="51"/>
        <v>-</v>
      </c>
      <c r="N169" s="738"/>
      <c r="O169" s="313">
        <v>0</v>
      </c>
      <c r="P169" s="114"/>
      <c r="Q169" s="115">
        <f t="shared" si="52"/>
        <v>0</v>
      </c>
      <c r="R169" s="116" t="str">
        <f t="shared" si="53"/>
        <v>-</v>
      </c>
      <c r="S169" s="732"/>
      <c r="T169" s="313">
        <v>74293</v>
      </c>
      <c r="U169" s="114"/>
      <c r="V169" s="115">
        <f t="shared" si="54"/>
        <v>-74293</v>
      </c>
      <c r="W169" s="116">
        <f t="shared" si="55"/>
        <v>-1</v>
      </c>
      <c r="X169" s="732"/>
    </row>
    <row r="170" spans="1:24" ht="46.5" customHeight="1" x14ac:dyDescent="0.2">
      <c r="A170" s="73">
        <v>8800</v>
      </c>
      <c r="B170" s="145" t="s">
        <v>224</v>
      </c>
      <c r="C170" s="114">
        <f>38693.63-56</f>
        <v>38637.629999999997</v>
      </c>
      <c r="D170" s="313">
        <v>40211.78</v>
      </c>
      <c r="E170" s="313">
        <v>11988.44</v>
      </c>
      <c r="F170" s="114"/>
      <c r="G170" s="115">
        <f t="shared" si="48"/>
        <v>-11988.44</v>
      </c>
      <c r="H170" s="116">
        <f t="shared" si="49"/>
        <v>-1</v>
      </c>
      <c r="I170" s="738"/>
      <c r="J170" s="313">
        <v>19781.140000000003</v>
      </c>
      <c r="K170" s="114"/>
      <c r="L170" s="135">
        <f t="shared" si="50"/>
        <v>-19781.140000000003</v>
      </c>
      <c r="M170" s="136">
        <f t="shared" si="51"/>
        <v>-1</v>
      </c>
      <c r="N170" s="738"/>
      <c r="O170" s="314">
        <v>27133.54</v>
      </c>
      <c r="P170" s="114"/>
      <c r="Q170" s="115">
        <f t="shared" si="52"/>
        <v>-27133.54</v>
      </c>
      <c r="R170" s="116">
        <f t="shared" si="53"/>
        <v>-1</v>
      </c>
      <c r="S170" s="732"/>
      <c r="T170" s="314">
        <v>40211.78</v>
      </c>
      <c r="U170" s="114"/>
      <c r="V170" s="115">
        <f t="shared" si="54"/>
        <v>-40211.78</v>
      </c>
      <c r="W170" s="116">
        <f t="shared" si="55"/>
        <v>-1</v>
      </c>
      <c r="X170" s="732"/>
    </row>
    <row r="171" spans="1:24" ht="46.5" customHeight="1" x14ac:dyDescent="0.2">
      <c r="A171" s="33">
        <v>8900</v>
      </c>
      <c r="B171" s="146" t="s">
        <v>225</v>
      </c>
      <c r="C171" s="114">
        <v>0</v>
      </c>
      <c r="D171" s="313">
        <v>0</v>
      </c>
      <c r="E171" s="313">
        <v>0</v>
      </c>
      <c r="F171" s="114"/>
      <c r="G171" s="115">
        <f t="shared" si="48"/>
        <v>0</v>
      </c>
      <c r="H171" s="116" t="str">
        <f t="shared" si="49"/>
        <v>-</v>
      </c>
      <c r="I171" s="739"/>
      <c r="J171" s="313">
        <v>0</v>
      </c>
      <c r="K171" s="114"/>
      <c r="L171" s="135">
        <f t="shared" si="50"/>
        <v>0</v>
      </c>
      <c r="M171" s="136" t="str">
        <f t="shared" si="51"/>
        <v>-</v>
      </c>
      <c r="N171" s="739"/>
      <c r="O171" s="313">
        <v>0</v>
      </c>
      <c r="P171" s="114"/>
      <c r="Q171" s="115">
        <f t="shared" si="52"/>
        <v>0</v>
      </c>
      <c r="R171" s="116" t="str">
        <f t="shared" si="53"/>
        <v>-</v>
      </c>
      <c r="S171" s="733"/>
      <c r="T171" s="313">
        <v>0</v>
      </c>
      <c r="U171" s="114"/>
      <c r="V171" s="115">
        <f t="shared" si="54"/>
        <v>0</v>
      </c>
      <c r="W171" s="116" t="str">
        <f t="shared" si="55"/>
        <v>-</v>
      </c>
      <c r="X171" s="733"/>
    </row>
    <row r="172" spans="1:24" ht="46.5" customHeight="1" x14ac:dyDescent="0.2">
      <c r="A172" s="273" t="s">
        <v>226</v>
      </c>
      <c r="B172" s="274" t="s">
        <v>227</v>
      </c>
      <c r="C172" s="275">
        <f>30804391.84-56</f>
        <v>30804335.84</v>
      </c>
      <c r="D172" s="310">
        <v>31362565.040000003</v>
      </c>
      <c r="E172" s="310">
        <v>7634953.0700000012</v>
      </c>
      <c r="F172" s="275">
        <f>F144+F146+F164</f>
        <v>0</v>
      </c>
      <c r="G172" s="276">
        <f t="shared" si="48"/>
        <v>-7634953.0700000012</v>
      </c>
      <c r="H172" s="277">
        <f t="shared" si="49"/>
        <v>-1</v>
      </c>
      <c r="I172" s="278"/>
      <c r="J172" s="310">
        <v>15365292.700000003</v>
      </c>
      <c r="K172" s="275">
        <f>K144+K146+K164</f>
        <v>0</v>
      </c>
      <c r="L172" s="276">
        <f t="shared" si="50"/>
        <v>-15365292.700000003</v>
      </c>
      <c r="M172" s="277">
        <f t="shared" si="51"/>
        <v>-1</v>
      </c>
      <c r="N172" s="278"/>
      <c r="O172" s="310">
        <v>23148585.960000001</v>
      </c>
      <c r="P172" s="275">
        <f>P144+P146+P164</f>
        <v>0</v>
      </c>
      <c r="Q172" s="276">
        <f t="shared" si="52"/>
        <v>-23148585.960000001</v>
      </c>
      <c r="R172" s="277">
        <f t="shared" si="53"/>
        <v>-1</v>
      </c>
      <c r="S172" s="278"/>
      <c r="T172" s="310">
        <v>31362565.040000003</v>
      </c>
      <c r="U172" s="275">
        <f>U144+U146+U164</f>
        <v>0</v>
      </c>
      <c r="V172" s="276">
        <f t="shared" si="54"/>
        <v>-31362565.040000003</v>
      </c>
      <c r="W172" s="277">
        <f t="shared" si="55"/>
        <v>-1</v>
      </c>
      <c r="X172" s="278"/>
    </row>
    <row r="173" spans="1:24" ht="46.5" customHeight="1" x14ac:dyDescent="0.2">
      <c r="A173" s="267" t="s">
        <v>228</v>
      </c>
      <c r="B173" s="268" t="s">
        <v>229</v>
      </c>
      <c r="C173" s="269">
        <v>-552929.20000000019</v>
      </c>
      <c r="D173" s="434">
        <v>-1180410.1700000041</v>
      </c>
      <c r="E173" s="435">
        <v>146802.48999999941</v>
      </c>
      <c r="F173" s="269">
        <f>F153+F154-F164</f>
        <v>0</v>
      </c>
      <c r="G173" s="270">
        <f t="shared" si="48"/>
        <v>-146802.48999999941</v>
      </c>
      <c r="H173" s="271">
        <f t="shared" si="49"/>
        <v>-1</v>
      </c>
      <c r="I173" s="272"/>
      <c r="J173" s="322">
        <v>-130522.59000000224</v>
      </c>
      <c r="K173" s="269">
        <f>K153+K154-K164</f>
        <v>0</v>
      </c>
      <c r="L173" s="270">
        <f>K173-J173</f>
        <v>130522.59000000224</v>
      </c>
      <c r="M173" s="271">
        <f t="shared" si="51"/>
        <v>1</v>
      </c>
      <c r="N173" s="272"/>
      <c r="O173" s="269">
        <v>-461699.9000000034</v>
      </c>
      <c r="P173" s="269">
        <f>P153+P154-P164</f>
        <v>0</v>
      </c>
      <c r="Q173" s="270">
        <f t="shared" si="52"/>
        <v>461699.9000000034</v>
      </c>
      <c r="R173" s="271">
        <f t="shared" si="53"/>
        <v>1</v>
      </c>
      <c r="S173" s="272"/>
      <c r="T173" s="322">
        <v>-1180410.1700000041</v>
      </c>
      <c r="U173" s="269">
        <f>U153+U154-U164</f>
        <v>0</v>
      </c>
      <c r="V173" s="270">
        <f t="shared" si="54"/>
        <v>1180410.1700000041</v>
      </c>
      <c r="W173" s="271">
        <f t="shared" si="55"/>
        <v>1</v>
      </c>
      <c r="X173" s="272"/>
    </row>
    <row r="174" spans="1:24" ht="46.5" customHeight="1" x14ac:dyDescent="0.2">
      <c r="F174" s="393"/>
      <c r="J174" s="4" t="s">
        <v>73</v>
      </c>
    </row>
    <row r="175" spans="1:24" ht="46.5" customHeight="1" x14ac:dyDescent="0.2">
      <c r="A175" s="754" t="s">
        <v>230</v>
      </c>
      <c r="B175" s="754"/>
      <c r="C175" s="162"/>
      <c r="D175" s="163"/>
      <c r="E175" s="163"/>
      <c r="F175" s="163"/>
      <c r="G175" s="163"/>
      <c r="H175" s="163"/>
      <c r="I175" s="163"/>
    </row>
    <row r="176" spans="1:24" ht="57.75" customHeight="1" x14ac:dyDescent="0.2">
      <c r="A176" s="756" t="s">
        <v>231</v>
      </c>
      <c r="B176" s="756"/>
      <c r="C176" s="756"/>
      <c r="D176" s="756"/>
      <c r="E176" s="756"/>
      <c r="F176" s="156"/>
      <c r="G176" s="156"/>
      <c r="H176" s="156"/>
      <c r="I176" s="156"/>
      <c r="J176" s="1"/>
      <c r="K176" s="1"/>
      <c r="L176" s="1"/>
      <c r="M176" s="1"/>
      <c r="N176" s="1"/>
      <c r="O176" s="1"/>
      <c r="P176" s="1"/>
      <c r="Q176" s="1"/>
      <c r="R176" s="1"/>
      <c r="S176" s="1"/>
      <c r="T176" s="1"/>
      <c r="U176" s="1"/>
      <c r="V176" s="1"/>
      <c r="W176" s="1"/>
      <c r="X176" s="1"/>
    </row>
    <row r="177" spans="1:11" ht="46.5" customHeight="1" x14ac:dyDescent="0.2">
      <c r="A177" s="755" t="s">
        <v>232</v>
      </c>
      <c r="B177" s="755"/>
      <c r="C177" s="755"/>
      <c r="D177" s="755"/>
      <c r="E177" s="755"/>
      <c r="F177" s="163"/>
      <c r="G177" s="163"/>
      <c r="H177" s="163"/>
      <c r="I177" s="163"/>
    </row>
    <row r="178" spans="1:11" ht="58.5" customHeight="1" x14ac:dyDescent="0.2">
      <c r="A178" s="756" t="s">
        <v>233</v>
      </c>
      <c r="B178" s="756"/>
      <c r="C178" s="756"/>
      <c r="D178" s="756"/>
      <c r="E178" s="756"/>
      <c r="F178" s="163"/>
      <c r="G178" s="163"/>
      <c r="H178" s="163"/>
      <c r="I178" s="163"/>
    </row>
    <row r="179" spans="1:11" ht="46.5" customHeight="1" x14ac:dyDescent="0.2">
      <c r="A179" s="757" t="s">
        <v>234</v>
      </c>
      <c r="B179" s="757"/>
      <c r="C179" s="757"/>
      <c r="D179" s="757"/>
      <c r="E179" s="757"/>
      <c r="F179" s="163"/>
      <c r="G179" s="163"/>
      <c r="H179" s="163"/>
      <c r="I179" s="163"/>
    </row>
    <row r="180" spans="1:11" ht="46.5" customHeight="1" x14ac:dyDescent="0.2">
      <c r="A180" s="757" t="s">
        <v>235</v>
      </c>
      <c r="B180" s="757"/>
      <c r="C180" s="757"/>
      <c r="D180" s="757"/>
      <c r="E180" s="757"/>
      <c r="F180" s="269"/>
      <c r="G180" s="163"/>
      <c r="H180" s="163"/>
      <c r="I180" s="163"/>
      <c r="K180" s="4">
        <f>K160+K161-K171</f>
        <v>0</v>
      </c>
    </row>
  </sheetData>
  <sheetProtection formatColumns="0" formatRows="0"/>
  <mergeCells count="94">
    <mergeCell ref="A177:E177"/>
    <mergeCell ref="A178:E178"/>
    <mergeCell ref="A179:E179"/>
    <mergeCell ref="A180:E180"/>
    <mergeCell ref="A176:E176"/>
    <mergeCell ref="A175:B175"/>
    <mergeCell ref="I148:I152"/>
    <mergeCell ref="I154:I161"/>
    <mergeCell ref="I35:I38"/>
    <mergeCell ref="I5:I9"/>
    <mergeCell ref="I10:I12"/>
    <mergeCell ref="I13:I15"/>
    <mergeCell ref="I16:I18"/>
    <mergeCell ref="I19:I21"/>
    <mergeCell ref="I22:I26"/>
    <mergeCell ref="I39:I47"/>
    <mergeCell ref="I52:I57"/>
    <mergeCell ref="I68:I73"/>
    <mergeCell ref="I74:I81"/>
    <mergeCell ref="I82:I88"/>
    <mergeCell ref="I90:I95"/>
    <mergeCell ref="I96:I101"/>
    <mergeCell ref="I104:I108"/>
    <mergeCell ref="I109:I112"/>
    <mergeCell ref="I164:I171"/>
    <mergeCell ref="S19:S21"/>
    <mergeCell ref="S22:S26"/>
    <mergeCell ref="S35:S38"/>
    <mergeCell ref="S39:S47"/>
    <mergeCell ref="S52:S57"/>
    <mergeCell ref="I119:I125"/>
    <mergeCell ref="I130:I137"/>
    <mergeCell ref="I114:I117"/>
    <mergeCell ref="N22:N26"/>
    <mergeCell ref="N35:N38"/>
    <mergeCell ref="N39:N47"/>
    <mergeCell ref="N52:N57"/>
    <mergeCell ref="N104:N108"/>
    <mergeCell ref="N109:N112"/>
    <mergeCell ref="N90:N95"/>
    <mergeCell ref="S90:S95"/>
    <mergeCell ref="S96:S101"/>
    <mergeCell ref="S104:S108"/>
    <mergeCell ref="S109:S112"/>
    <mergeCell ref="S68:S73"/>
    <mergeCell ref="S74:S81"/>
    <mergeCell ref="N68:N73"/>
    <mergeCell ref="N74:N81"/>
    <mergeCell ref="S5:S9"/>
    <mergeCell ref="S10:S12"/>
    <mergeCell ref="S13:S15"/>
    <mergeCell ref="S16:S18"/>
    <mergeCell ref="N5:N9"/>
    <mergeCell ref="N10:N12"/>
    <mergeCell ref="N13:N15"/>
    <mergeCell ref="N16:N18"/>
    <mergeCell ref="N19:N21"/>
    <mergeCell ref="N154:N161"/>
    <mergeCell ref="N164:N171"/>
    <mergeCell ref="N148:N152"/>
    <mergeCell ref="X82:X88"/>
    <mergeCell ref="X90:X95"/>
    <mergeCell ref="X96:X101"/>
    <mergeCell ref="X104:X108"/>
    <mergeCell ref="X109:X112"/>
    <mergeCell ref="S148:S152"/>
    <mergeCell ref="S154:S161"/>
    <mergeCell ref="S164:S171"/>
    <mergeCell ref="X154:X161"/>
    <mergeCell ref="X164:X171"/>
    <mergeCell ref="S82:S88"/>
    <mergeCell ref="N130:N137"/>
    <mergeCell ref="N96:N101"/>
    <mergeCell ref="N114:N117"/>
    <mergeCell ref="N119:N125"/>
    <mergeCell ref="N82:N88"/>
    <mergeCell ref="X5:X9"/>
    <mergeCell ref="X10:X12"/>
    <mergeCell ref="X13:X15"/>
    <mergeCell ref="X16:X18"/>
    <mergeCell ref="X19:X21"/>
    <mergeCell ref="X22:X26"/>
    <mergeCell ref="X35:X38"/>
    <mergeCell ref="X39:X47"/>
    <mergeCell ref="X52:X57"/>
    <mergeCell ref="X68:X73"/>
    <mergeCell ref="X74:X81"/>
    <mergeCell ref="S119:S125"/>
    <mergeCell ref="S114:S117"/>
    <mergeCell ref="S130:S137"/>
    <mergeCell ref="X148:X152"/>
    <mergeCell ref="X114:X117"/>
    <mergeCell ref="X119:X125"/>
    <mergeCell ref="X130:X137"/>
  </mergeCells>
  <phoneticPr fontId="49" type="noConversion"/>
  <pageMargins left="0.25" right="0.25" top="0.75" bottom="0.75" header="0.3" footer="0.3"/>
  <pageSetup paperSize="9" scale="13" fitToHeight="0" orientation="portrait" r:id="rId1"/>
  <headerFooter>
    <oddHeader>&amp;C&amp;"Times New Roman,Bold"&amp;14Budžeta&amp;"Times New Roman,Regular" &amp;"Times New Roman,Bold"tāme&amp;R&amp;"Times New Roman,Regular"&amp;14 1.pielikums</oddHeader>
    <oddFooter>&amp;C&amp;"Times New Roman,Regular"&amp;12&amp;F&amp;R&amp;"Times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4"/>
  <sheetViews>
    <sheetView view="pageBreakPreview" zoomScaleNormal="85" zoomScaleSheetLayoutView="100" zoomScalePageLayoutView="70" workbookViewId="0">
      <pane ySplit="1" topLeftCell="A2" activePane="bottomLeft" state="frozen"/>
      <selection pane="bottomLeft" activeCell="AB2" sqref="AB2"/>
    </sheetView>
  </sheetViews>
  <sheetFormatPr defaultColWidth="9.140625" defaultRowHeight="18" outlineLevelCol="1" x14ac:dyDescent="0.2"/>
  <cols>
    <col min="1" max="1" width="9.140625" style="5" customWidth="1"/>
    <col min="2" max="2" width="18.7109375" style="5" customWidth="1"/>
    <col min="3" max="3" width="11.140625" style="5" bestFit="1" customWidth="1"/>
    <col min="4" max="4" width="15.140625" style="5" customWidth="1"/>
    <col min="5" max="5" width="4.28515625" style="608" hidden="1" customWidth="1"/>
    <col min="6" max="10" width="4.28515625" style="5" hidden="1" customWidth="1"/>
    <col min="11" max="14" width="4.28515625" style="5" hidden="1" customWidth="1" outlineLevel="1"/>
    <col min="15" max="15" width="4.28515625" style="5" hidden="1" customWidth="1" collapsed="1"/>
    <col min="16" max="19" width="4.28515625" style="5" hidden="1" customWidth="1" outlineLevel="1"/>
    <col min="20" max="20" width="4.28515625" style="5" hidden="1" customWidth="1" collapsed="1"/>
    <col min="21" max="24" width="4.28515625" style="5" hidden="1" customWidth="1" outlineLevel="1"/>
    <col min="25" max="25" width="9.140625" style="5" hidden="1" customWidth="1" collapsed="1"/>
    <col min="26" max="26" width="23.28515625" style="5" hidden="1" customWidth="1"/>
    <col min="27" max="27" width="16.28515625" style="5" customWidth="1"/>
    <col min="28" max="28" width="19" style="5" customWidth="1"/>
    <col min="29" max="29" width="10.85546875" style="5" bestFit="1" customWidth="1"/>
    <col min="30" max="16384" width="9.140625" style="5"/>
  </cols>
  <sheetData>
    <row r="1" spans="1:29" ht="330.75" x14ac:dyDescent="0.2">
      <c r="A1" s="323" t="s">
        <v>236</v>
      </c>
      <c r="B1" s="323" t="s">
        <v>237</v>
      </c>
      <c r="C1" s="324" t="s">
        <v>2</v>
      </c>
      <c r="D1" s="324" t="s">
        <v>3</v>
      </c>
      <c r="E1" s="602" t="s">
        <v>4</v>
      </c>
      <c r="F1" s="324" t="s">
        <v>5</v>
      </c>
      <c r="G1" s="325" t="s">
        <v>6</v>
      </c>
      <c r="H1" s="326" t="s">
        <v>7</v>
      </c>
      <c r="I1" s="324" t="s">
        <v>238</v>
      </c>
      <c r="J1" s="324" t="s">
        <v>9</v>
      </c>
      <c r="K1" s="324" t="s">
        <v>10</v>
      </c>
      <c r="L1" s="325" t="s">
        <v>6</v>
      </c>
      <c r="M1" s="326" t="s">
        <v>7</v>
      </c>
      <c r="N1" s="324" t="s">
        <v>238</v>
      </c>
      <c r="O1" s="324" t="s">
        <v>11</v>
      </c>
      <c r="P1" s="324" t="s">
        <v>12</v>
      </c>
      <c r="Q1" s="367" t="s">
        <v>6</v>
      </c>
      <c r="R1" s="368" t="s">
        <v>7</v>
      </c>
      <c r="S1" s="324" t="s">
        <v>238</v>
      </c>
      <c r="T1" s="324" t="s">
        <v>13</v>
      </c>
      <c r="U1" s="324" t="s">
        <v>14</v>
      </c>
      <c r="V1" s="325" t="s">
        <v>6</v>
      </c>
      <c r="W1" s="326" t="s">
        <v>7</v>
      </c>
      <c r="X1" s="324" t="s">
        <v>238</v>
      </c>
    </row>
    <row r="2" spans="1:29" x14ac:dyDescent="0.2">
      <c r="A2" s="323">
        <v>1</v>
      </c>
      <c r="B2" s="323">
        <v>2</v>
      </c>
      <c r="C2" s="324">
        <v>3</v>
      </c>
      <c r="D2" s="324">
        <v>4</v>
      </c>
      <c r="E2" s="602">
        <v>5</v>
      </c>
      <c r="F2" s="324">
        <v>11</v>
      </c>
      <c r="G2" s="325">
        <v>12</v>
      </c>
      <c r="H2" s="327">
        <v>13</v>
      </c>
      <c r="I2" s="324">
        <v>14</v>
      </c>
      <c r="J2" s="324">
        <v>10</v>
      </c>
      <c r="K2" s="324">
        <v>11</v>
      </c>
      <c r="L2" s="325">
        <v>12</v>
      </c>
      <c r="M2" s="327">
        <v>13</v>
      </c>
      <c r="N2" s="324">
        <v>14</v>
      </c>
      <c r="O2" s="324">
        <v>15</v>
      </c>
      <c r="P2" s="324">
        <v>16</v>
      </c>
      <c r="Q2" s="367">
        <v>17</v>
      </c>
      <c r="R2" s="369">
        <v>18</v>
      </c>
      <c r="S2" s="324">
        <v>19</v>
      </c>
      <c r="T2" s="324">
        <v>20</v>
      </c>
      <c r="U2" s="324">
        <v>21</v>
      </c>
      <c r="V2" s="325">
        <v>22</v>
      </c>
      <c r="W2" s="327">
        <v>23</v>
      </c>
      <c r="X2" s="324">
        <v>24</v>
      </c>
    </row>
    <row r="3" spans="1:29" ht="123.75" customHeight="1" x14ac:dyDescent="0.2">
      <c r="A3" s="323">
        <v>1</v>
      </c>
      <c r="B3" s="328" t="s">
        <v>239</v>
      </c>
      <c r="C3" s="329">
        <v>29551211</v>
      </c>
      <c r="D3" s="330">
        <v>29023115</v>
      </c>
      <c r="E3" s="600">
        <v>7482931</v>
      </c>
      <c r="F3" s="330"/>
      <c r="G3" s="332">
        <f>F3-E3</f>
        <v>-7482931</v>
      </c>
      <c r="H3" s="338">
        <f t="shared" ref="H3:H9" si="0">IFERROR(G3/ABS(E3), "-")</f>
        <v>-1</v>
      </c>
      <c r="I3" s="330"/>
      <c r="J3" s="331">
        <v>14649716</v>
      </c>
      <c r="K3" s="330"/>
      <c r="L3" s="332"/>
      <c r="M3" s="338"/>
      <c r="N3" s="330"/>
      <c r="O3" s="331">
        <v>21815667</v>
      </c>
      <c r="P3" s="329"/>
      <c r="Q3" s="333"/>
      <c r="R3" s="334"/>
      <c r="S3" s="335"/>
      <c r="T3" s="329">
        <v>29023115</v>
      </c>
      <c r="U3" s="329"/>
      <c r="V3" s="333">
        <f>U3-T3</f>
        <v>-29023115</v>
      </c>
      <c r="W3" s="334">
        <f>IFERROR(V3/ABS(T3), "-")</f>
        <v>-1</v>
      </c>
      <c r="X3" s="335"/>
      <c r="Z3" s="599"/>
      <c r="AB3" s="545"/>
      <c r="AC3" s="598"/>
    </row>
    <row r="4" spans="1:29" ht="137.25" customHeight="1" x14ac:dyDescent="0.2">
      <c r="A4" s="323">
        <v>2</v>
      </c>
      <c r="B4" s="328" t="s">
        <v>240</v>
      </c>
      <c r="C4" s="329">
        <v>28109305</v>
      </c>
      <c r="D4" s="331">
        <v>29323998</v>
      </c>
      <c r="E4" s="600">
        <v>7138419</v>
      </c>
      <c r="F4" s="330"/>
      <c r="G4" s="332">
        <f t="shared" ref="G4" si="1">F4-E4</f>
        <v>-7138419</v>
      </c>
      <c r="H4" s="338">
        <f t="shared" si="0"/>
        <v>-1</v>
      </c>
      <c r="I4" s="330"/>
      <c r="J4" s="331">
        <v>14366548</v>
      </c>
      <c r="K4" s="330"/>
      <c r="L4" s="332"/>
      <c r="M4" s="338"/>
      <c r="N4" s="330"/>
      <c r="O4" s="331">
        <v>21643928</v>
      </c>
      <c r="P4" s="329"/>
      <c r="Q4" s="333"/>
      <c r="R4" s="334"/>
      <c r="S4" s="335"/>
      <c r="T4" s="329">
        <v>29323998</v>
      </c>
      <c r="U4" s="329"/>
      <c r="V4" s="333">
        <f t="shared" ref="V4:V9" si="2">U4-T4</f>
        <v>-29323998</v>
      </c>
      <c r="W4" s="334">
        <f t="shared" ref="W4:W9" si="3">IFERROR(V4/ABS(T4), "-")</f>
        <v>-1</v>
      </c>
      <c r="X4" s="335"/>
      <c r="Z4" s="599"/>
      <c r="AA4" s="385"/>
      <c r="AB4" s="545"/>
      <c r="AC4" s="596"/>
    </row>
    <row r="5" spans="1:29" ht="108.75" customHeight="1" x14ac:dyDescent="0.2">
      <c r="A5" s="615">
        <v>3</v>
      </c>
      <c r="B5" s="616" t="s">
        <v>241</v>
      </c>
      <c r="C5" s="609">
        <f>C3-C4</f>
        <v>1441906</v>
      </c>
      <c r="D5" s="609">
        <f t="shared" ref="D5:E5" si="4">D3-D4</f>
        <v>-300883</v>
      </c>
      <c r="E5" s="610">
        <f t="shared" si="4"/>
        <v>344512</v>
      </c>
      <c r="F5" s="609">
        <f>F3-F4</f>
        <v>0</v>
      </c>
      <c r="G5" s="611">
        <f>F5-E5</f>
        <v>-344512</v>
      </c>
      <c r="H5" s="612">
        <f t="shared" si="0"/>
        <v>-1</v>
      </c>
      <c r="I5" s="613"/>
      <c r="J5" s="609">
        <f t="shared" ref="J5" si="5">J3-J4</f>
        <v>283168</v>
      </c>
      <c r="K5" s="609">
        <f>K3-K4</f>
        <v>0</v>
      </c>
      <c r="L5" s="611">
        <f>K5-J5</f>
        <v>-283168</v>
      </c>
      <c r="M5" s="612">
        <f t="shared" ref="M5:M6" si="6">IFERROR(L5/ABS(J5), "-")</f>
        <v>-1</v>
      </c>
      <c r="N5" s="613"/>
      <c r="O5" s="609">
        <f>O3-O4</f>
        <v>171739</v>
      </c>
      <c r="P5" s="609">
        <f>P3-P4</f>
        <v>0</v>
      </c>
      <c r="Q5" s="611">
        <f t="shared" ref="Q5:Q6" si="7">P5-O5</f>
        <v>-171739</v>
      </c>
      <c r="R5" s="612">
        <f t="shared" ref="R5:R6" si="8">IFERROR(Q5/ABS(O5), "-")</f>
        <v>-1</v>
      </c>
      <c r="S5" s="614"/>
      <c r="T5" s="609">
        <f>T3-T4</f>
        <v>-300883</v>
      </c>
      <c r="U5" s="370">
        <f>U3-U4</f>
        <v>0</v>
      </c>
      <c r="V5" s="371">
        <f t="shared" si="2"/>
        <v>300883</v>
      </c>
      <c r="W5" s="372">
        <f t="shared" si="3"/>
        <v>1</v>
      </c>
      <c r="X5" s="373"/>
      <c r="Z5" s="545"/>
      <c r="AA5" s="385"/>
    </row>
    <row r="6" spans="1:29" ht="31.5" x14ac:dyDescent="0.2">
      <c r="A6" s="323">
        <v>4</v>
      </c>
      <c r="B6" s="328" t="s">
        <v>242</v>
      </c>
      <c r="C6" s="329"/>
      <c r="D6" s="329"/>
      <c r="E6" s="601"/>
      <c r="F6" s="329"/>
      <c r="G6" s="333">
        <f t="shared" ref="G6:G9" si="9">F6-E6</f>
        <v>0</v>
      </c>
      <c r="H6" s="334" t="str">
        <f t="shared" si="0"/>
        <v>-</v>
      </c>
      <c r="I6" s="335"/>
      <c r="J6" s="329"/>
      <c r="K6" s="329"/>
      <c r="L6" s="333">
        <f t="shared" ref="L6" si="10">K6-J6</f>
        <v>0</v>
      </c>
      <c r="M6" s="334" t="str">
        <f t="shared" si="6"/>
        <v>-</v>
      </c>
      <c r="N6" s="335"/>
      <c r="O6" s="329"/>
      <c r="P6" s="329"/>
      <c r="Q6" s="333">
        <f t="shared" si="7"/>
        <v>0</v>
      </c>
      <c r="R6" s="334" t="str">
        <f t="shared" si="8"/>
        <v>-</v>
      </c>
      <c r="S6" s="335"/>
      <c r="T6" s="329"/>
      <c r="U6" s="329"/>
      <c r="V6" s="333">
        <f t="shared" si="2"/>
        <v>0</v>
      </c>
      <c r="W6" s="334" t="str">
        <f t="shared" si="3"/>
        <v>-</v>
      </c>
      <c r="X6" s="335"/>
    </row>
    <row r="7" spans="1:29" ht="46.5" customHeight="1" x14ac:dyDescent="0.2">
      <c r="A7" s="323">
        <v>5</v>
      </c>
      <c r="B7" s="328" t="s">
        <v>243</v>
      </c>
      <c r="C7" s="329">
        <v>1580892</v>
      </c>
      <c r="D7" s="329">
        <v>1527357</v>
      </c>
      <c r="E7" s="601">
        <v>372067</v>
      </c>
      <c r="F7" s="329"/>
      <c r="G7" s="333">
        <f t="shared" si="9"/>
        <v>-372067</v>
      </c>
      <c r="H7" s="338">
        <f t="shared" si="0"/>
        <v>-1</v>
      </c>
      <c r="I7" s="335"/>
      <c r="J7" s="329">
        <v>748291</v>
      </c>
      <c r="K7" s="329"/>
      <c r="L7" s="333"/>
      <c r="M7" s="338"/>
      <c r="N7" s="335"/>
      <c r="O7" s="329">
        <v>1127336</v>
      </c>
      <c r="P7" s="329"/>
      <c r="Q7" s="333"/>
      <c r="R7" s="334"/>
      <c r="S7" s="433"/>
      <c r="T7" s="329">
        <v>1527357</v>
      </c>
      <c r="U7" s="329"/>
      <c r="V7" s="333">
        <f t="shared" si="2"/>
        <v>-1527357</v>
      </c>
      <c r="W7" s="334">
        <f t="shared" si="3"/>
        <v>-1</v>
      </c>
      <c r="X7" s="355"/>
      <c r="Z7" s="596"/>
    </row>
    <row r="8" spans="1:29" ht="47.25" x14ac:dyDescent="0.2">
      <c r="A8" s="323">
        <v>6</v>
      </c>
      <c r="B8" s="328" t="s">
        <v>244</v>
      </c>
      <c r="C8" s="329">
        <v>698568</v>
      </c>
      <c r="D8" s="329">
        <v>1158995</v>
      </c>
      <c r="E8" s="601">
        <v>298788</v>
      </c>
      <c r="F8" s="329"/>
      <c r="G8" s="333">
        <f t="shared" si="9"/>
        <v>-298788</v>
      </c>
      <c r="H8" s="338">
        <f t="shared" si="0"/>
        <v>-1</v>
      </c>
      <c r="I8" s="433"/>
      <c r="J8" s="329">
        <v>585015</v>
      </c>
      <c r="K8" s="329"/>
      <c r="L8" s="333"/>
      <c r="M8" s="338"/>
      <c r="N8" s="433"/>
      <c r="O8" s="329">
        <v>871176</v>
      </c>
      <c r="P8" s="329"/>
      <c r="Q8" s="333"/>
      <c r="R8" s="334"/>
      <c r="S8" s="335"/>
      <c r="T8" s="329">
        <v>1158995</v>
      </c>
      <c r="U8" s="329"/>
      <c r="V8" s="333">
        <f t="shared" si="2"/>
        <v>-1158995</v>
      </c>
      <c r="W8" s="334">
        <f t="shared" si="3"/>
        <v>-1</v>
      </c>
      <c r="X8" s="335"/>
      <c r="Z8" s="597"/>
    </row>
    <row r="9" spans="1:29" ht="156" customHeight="1" x14ac:dyDescent="0.2">
      <c r="A9" s="323">
        <v>7</v>
      </c>
      <c r="B9" s="328" t="s">
        <v>245</v>
      </c>
      <c r="C9" s="329">
        <v>1114139</v>
      </c>
      <c r="D9" s="329">
        <v>511210</v>
      </c>
      <c r="E9" s="601">
        <v>124467</v>
      </c>
      <c r="F9" s="329"/>
      <c r="G9" s="333">
        <f t="shared" si="9"/>
        <v>-124467</v>
      </c>
      <c r="H9" s="338">
        <f t="shared" si="0"/>
        <v>-1</v>
      </c>
      <c r="I9" s="433"/>
      <c r="J9" s="329">
        <v>250454</v>
      </c>
      <c r="K9" s="329"/>
      <c r="L9" s="333"/>
      <c r="M9" s="338"/>
      <c r="N9" s="433"/>
      <c r="O9" s="329">
        <v>377322</v>
      </c>
      <c r="P9" s="329"/>
      <c r="Q9" s="333"/>
      <c r="R9" s="334"/>
      <c r="S9" s="335"/>
      <c r="T9" s="329">
        <v>511210</v>
      </c>
      <c r="U9" s="329"/>
      <c r="V9" s="333">
        <f t="shared" si="2"/>
        <v>-511210</v>
      </c>
      <c r="W9" s="334">
        <f t="shared" si="3"/>
        <v>-1</v>
      </c>
      <c r="X9" s="355"/>
      <c r="Z9" s="596"/>
    </row>
    <row r="10" spans="1:29" ht="31.5" x14ac:dyDescent="0.2">
      <c r="A10" s="323">
        <v>8</v>
      </c>
      <c r="B10" s="328" t="s">
        <v>246</v>
      </c>
      <c r="C10" s="329"/>
      <c r="D10" s="329"/>
      <c r="E10" s="601"/>
      <c r="F10" s="329"/>
      <c r="G10" s="333">
        <f>F10-E10</f>
        <v>0</v>
      </c>
      <c r="H10" s="334" t="str">
        <f>IFERROR(G10/ABS(E10), "-")</f>
        <v>-</v>
      </c>
      <c r="I10" s="335"/>
      <c r="J10" s="329"/>
      <c r="K10" s="329"/>
      <c r="L10" s="333">
        <f>K10-J10</f>
        <v>0</v>
      </c>
      <c r="M10" s="334" t="str">
        <f>IFERROR(L10/ABS(J10), "-")</f>
        <v>-</v>
      </c>
      <c r="N10" s="335"/>
      <c r="O10" s="329"/>
      <c r="P10" s="329"/>
      <c r="Q10" s="333">
        <f>P10-O10</f>
        <v>0</v>
      </c>
      <c r="R10" s="334" t="str">
        <f>IFERROR(Q10/ABS(O10), "-")</f>
        <v>-</v>
      </c>
      <c r="S10" s="335"/>
      <c r="T10" s="329"/>
      <c r="U10" s="329"/>
      <c r="V10" s="333">
        <f>U10-T10</f>
        <v>0</v>
      </c>
      <c r="W10" s="334" t="str">
        <f>IFERROR(V10/ABS(T10), "-")</f>
        <v>-</v>
      </c>
      <c r="X10" s="335"/>
    </row>
    <row r="11" spans="1:29" ht="78.75" x14ac:dyDescent="0.2">
      <c r="A11" s="323">
        <v>9</v>
      </c>
      <c r="B11" s="328" t="s">
        <v>247</v>
      </c>
      <c r="C11" s="329"/>
      <c r="D11" s="329"/>
      <c r="E11" s="601"/>
      <c r="F11" s="329"/>
      <c r="G11" s="333">
        <f t="shared" ref="G11:G19" si="11">F11-E11</f>
        <v>0</v>
      </c>
      <c r="H11" s="334" t="str">
        <f t="shared" ref="H11:H20" si="12">IFERROR(G11/ABS(E11), "-")</f>
        <v>-</v>
      </c>
      <c r="I11" s="335"/>
      <c r="J11" s="329"/>
      <c r="K11" s="329"/>
      <c r="L11" s="333">
        <f t="shared" ref="L11:L19" si="13">K11-J11</f>
        <v>0</v>
      </c>
      <c r="M11" s="334" t="str">
        <f t="shared" ref="M11:M20" si="14">IFERROR(L11/ABS(J11), "-")</f>
        <v>-</v>
      </c>
      <c r="N11" s="335"/>
      <c r="O11" s="329"/>
      <c r="P11" s="329"/>
      <c r="Q11" s="333">
        <f t="shared" ref="Q11:Q19" si="15">P11-O11</f>
        <v>0</v>
      </c>
      <c r="R11" s="334" t="str">
        <f t="shared" ref="R11:R20" si="16">IFERROR(Q11/ABS(O11), "-")</f>
        <v>-</v>
      </c>
      <c r="S11" s="335"/>
      <c r="T11" s="329"/>
      <c r="U11" s="329"/>
      <c r="V11" s="333">
        <f t="shared" ref="V11:V20" si="17">U11-T11</f>
        <v>0</v>
      </c>
      <c r="W11" s="334" t="str">
        <f t="shared" ref="W11:W19" si="18">IFERROR(V11/ABS(T11), "-")</f>
        <v>-</v>
      </c>
      <c r="X11" s="335"/>
    </row>
    <row r="12" spans="1:29" ht="47.25" x14ac:dyDescent="0.2">
      <c r="A12" s="323">
        <v>10</v>
      </c>
      <c r="B12" s="328" t="s">
        <v>248</v>
      </c>
      <c r="C12" s="329">
        <v>1628</v>
      </c>
      <c r="D12" s="329">
        <v>45</v>
      </c>
      <c r="E12" s="601">
        <v>36</v>
      </c>
      <c r="F12" s="329"/>
      <c r="G12" s="333">
        <f t="shared" si="11"/>
        <v>-36</v>
      </c>
      <c r="H12" s="338">
        <f t="shared" si="12"/>
        <v>-1</v>
      </c>
      <c r="I12" s="433"/>
      <c r="J12" s="329">
        <v>39</v>
      </c>
      <c r="K12" s="329"/>
      <c r="L12" s="333"/>
      <c r="M12" s="338"/>
      <c r="N12" s="433"/>
      <c r="O12" s="329">
        <v>43</v>
      </c>
      <c r="P12" s="329"/>
      <c r="Q12" s="333"/>
      <c r="R12" s="334"/>
      <c r="S12" s="433"/>
      <c r="T12" s="329">
        <v>45</v>
      </c>
      <c r="U12" s="329"/>
      <c r="V12" s="333">
        <f t="shared" si="17"/>
        <v>-45</v>
      </c>
      <c r="W12" s="334">
        <f t="shared" si="18"/>
        <v>-1</v>
      </c>
      <c r="X12" s="355"/>
    </row>
    <row r="13" spans="1:29" ht="78.75" x14ac:dyDescent="0.2">
      <c r="A13" s="323">
        <v>11</v>
      </c>
      <c r="B13" s="328" t="s">
        <v>249</v>
      </c>
      <c r="C13" s="329"/>
      <c r="D13" s="329"/>
      <c r="E13" s="601"/>
      <c r="F13" s="329"/>
      <c r="G13" s="333">
        <f t="shared" si="11"/>
        <v>0</v>
      </c>
      <c r="H13" s="334" t="str">
        <f t="shared" si="12"/>
        <v>-</v>
      </c>
      <c r="I13" s="335"/>
      <c r="J13" s="329"/>
      <c r="K13" s="329"/>
      <c r="L13" s="333">
        <f t="shared" si="13"/>
        <v>0</v>
      </c>
      <c r="M13" s="334" t="str">
        <f t="shared" si="14"/>
        <v>-</v>
      </c>
      <c r="N13" s="335"/>
      <c r="O13" s="329"/>
      <c r="P13" s="329"/>
      <c r="Q13" s="333">
        <f t="shared" si="15"/>
        <v>0</v>
      </c>
      <c r="R13" s="334" t="str">
        <f t="shared" si="16"/>
        <v>-</v>
      </c>
      <c r="S13" s="335"/>
      <c r="T13" s="329"/>
      <c r="U13" s="329"/>
      <c r="V13" s="333">
        <f t="shared" si="17"/>
        <v>0</v>
      </c>
      <c r="W13" s="334" t="str">
        <f t="shared" si="18"/>
        <v>-</v>
      </c>
      <c r="X13" s="335"/>
    </row>
    <row r="14" spans="1:29" ht="47.25" x14ac:dyDescent="0.2">
      <c r="A14" s="323">
        <v>12</v>
      </c>
      <c r="B14" s="328" t="s">
        <v>250</v>
      </c>
      <c r="C14" s="329"/>
      <c r="D14" s="329"/>
      <c r="E14" s="601"/>
      <c r="F14" s="329"/>
      <c r="G14" s="333">
        <f t="shared" si="11"/>
        <v>0</v>
      </c>
      <c r="H14" s="334" t="str">
        <f t="shared" si="12"/>
        <v>-</v>
      </c>
      <c r="I14" s="335"/>
      <c r="J14" s="329"/>
      <c r="K14" s="329"/>
      <c r="L14" s="333">
        <f t="shared" si="13"/>
        <v>0</v>
      </c>
      <c r="M14" s="334" t="str">
        <f t="shared" si="14"/>
        <v>-</v>
      </c>
      <c r="N14" s="335"/>
      <c r="O14" s="329"/>
      <c r="P14" s="329"/>
      <c r="Q14" s="333">
        <f t="shared" si="15"/>
        <v>0</v>
      </c>
      <c r="R14" s="334" t="str">
        <f t="shared" si="16"/>
        <v>-</v>
      </c>
      <c r="S14" s="335"/>
      <c r="T14" s="329"/>
      <c r="U14" s="329"/>
      <c r="V14" s="333">
        <f t="shared" si="17"/>
        <v>0</v>
      </c>
      <c r="W14" s="334" t="str">
        <f t="shared" si="18"/>
        <v>-</v>
      </c>
      <c r="X14" s="335"/>
    </row>
    <row r="15" spans="1:29" ht="111" customHeight="1" x14ac:dyDescent="0.2">
      <c r="A15" s="615">
        <v>13</v>
      </c>
      <c r="B15" s="616" t="s">
        <v>251</v>
      </c>
      <c r="C15" s="609">
        <f>C5-C6-C7+C8-C9+C10+C11+C12-C13-C14</f>
        <v>-552929</v>
      </c>
      <c r="D15" s="609">
        <f>D5-D6-D7+D8-D9+D10+D11+D12-D13-D14</f>
        <v>-1180410</v>
      </c>
      <c r="E15" s="610">
        <f>E5-E7+E8-E9+E12</f>
        <v>146802</v>
      </c>
      <c r="F15" s="609">
        <f t="shared" ref="F15" si="19">F5-F6-F7+F8-F9+F10+F11+F12-F13-F14</f>
        <v>0</v>
      </c>
      <c r="G15" s="611">
        <f>F15-E15</f>
        <v>-146802</v>
      </c>
      <c r="H15" s="612">
        <f t="shared" si="12"/>
        <v>-1</v>
      </c>
      <c r="I15" s="613"/>
      <c r="J15" s="609">
        <f>J5-J7+J8-J9+J12</f>
        <v>-130523</v>
      </c>
      <c r="K15" s="609">
        <f t="shared" ref="K15" si="20">K5-K6-K7+K8-K9+K10+K11+K12-K13-K14</f>
        <v>0</v>
      </c>
      <c r="L15" s="611">
        <f>K15-J15</f>
        <v>130523</v>
      </c>
      <c r="M15" s="612">
        <f t="shared" si="14"/>
        <v>1</v>
      </c>
      <c r="N15" s="613"/>
      <c r="O15" s="609">
        <f>O5-O7+O8-O9+O12</f>
        <v>-461700</v>
      </c>
      <c r="P15" s="609">
        <f t="shared" ref="P15" si="21">P5-P6-P7+P8-P9+P10+P11+P12-P13-P14</f>
        <v>0</v>
      </c>
      <c r="Q15" s="611">
        <f t="shared" si="15"/>
        <v>461700</v>
      </c>
      <c r="R15" s="612">
        <f t="shared" si="16"/>
        <v>1</v>
      </c>
      <c r="S15" s="613"/>
      <c r="T15" s="609">
        <f>T5-T7+T8-T9+T12</f>
        <v>-1180410</v>
      </c>
      <c r="U15" s="336">
        <f>U5-U6-U7+U8-U9+U10+U11+U12-U13-U14</f>
        <v>0</v>
      </c>
      <c r="V15" s="337">
        <f t="shared" si="17"/>
        <v>1180410</v>
      </c>
      <c r="W15" s="338">
        <f t="shared" si="18"/>
        <v>1</v>
      </c>
      <c r="X15" s="374"/>
    </row>
    <row r="16" spans="1:29" ht="47.25" x14ac:dyDescent="0.2">
      <c r="A16" s="323">
        <v>14</v>
      </c>
      <c r="B16" s="328" t="s">
        <v>252</v>
      </c>
      <c r="C16" s="329"/>
      <c r="D16" s="329"/>
      <c r="E16" s="601"/>
      <c r="F16" s="329"/>
      <c r="G16" s="333">
        <f t="shared" si="11"/>
        <v>0</v>
      </c>
      <c r="H16" s="334" t="str">
        <f t="shared" si="12"/>
        <v>-</v>
      </c>
      <c r="I16" s="335"/>
      <c r="J16" s="329"/>
      <c r="K16" s="329"/>
      <c r="L16" s="333">
        <f t="shared" si="13"/>
        <v>0</v>
      </c>
      <c r="M16" s="334" t="str">
        <f t="shared" si="14"/>
        <v>-</v>
      </c>
      <c r="N16" s="335"/>
      <c r="O16" s="329"/>
      <c r="P16" s="329"/>
      <c r="Q16" s="333">
        <f t="shared" si="15"/>
        <v>0</v>
      </c>
      <c r="R16" s="334" t="str">
        <f t="shared" si="16"/>
        <v>-</v>
      </c>
      <c r="S16" s="335"/>
      <c r="T16" s="329"/>
      <c r="U16" s="329"/>
      <c r="V16" s="333">
        <f t="shared" si="17"/>
        <v>0</v>
      </c>
      <c r="W16" s="334" t="str">
        <f t="shared" si="18"/>
        <v>-</v>
      </c>
      <c r="X16" s="335"/>
    </row>
    <row r="17" spans="1:24" ht="78.75" x14ac:dyDescent="0.2">
      <c r="A17" s="615">
        <v>15</v>
      </c>
      <c r="B17" s="616" t="s">
        <v>253</v>
      </c>
      <c r="C17" s="617">
        <f>C15-C16</f>
        <v>-552929</v>
      </c>
      <c r="D17" s="617">
        <f t="shared" ref="D17:Q17" si="22">D15-D16</f>
        <v>-1180410</v>
      </c>
      <c r="E17" s="618">
        <f t="shared" si="22"/>
        <v>146802</v>
      </c>
      <c r="F17" s="617">
        <f t="shared" ref="F17" si="23">F15-F16</f>
        <v>0</v>
      </c>
      <c r="G17" s="617">
        <f>G15-G16</f>
        <v>-146802</v>
      </c>
      <c r="H17" s="619">
        <f t="shared" si="12"/>
        <v>-1</v>
      </c>
      <c r="I17" s="620"/>
      <c r="J17" s="617">
        <f t="shared" si="22"/>
        <v>-130523</v>
      </c>
      <c r="K17" s="617">
        <f t="shared" si="22"/>
        <v>0</v>
      </c>
      <c r="L17" s="617">
        <f>L15-L16</f>
        <v>130523</v>
      </c>
      <c r="M17" s="619">
        <f t="shared" si="14"/>
        <v>1</v>
      </c>
      <c r="N17" s="620"/>
      <c r="O17" s="617">
        <f t="shared" ref="O17:P17" si="24">O15-O16</f>
        <v>-461700</v>
      </c>
      <c r="P17" s="617">
        <f t="shared" si="24"/>
        <v>0</v>
      </c>
      <c r="Q17" s="617">
        <f t="shared" si="22"/>
        <v>461700</v>
      </c>
      <c r="R17" s="619">
        <f t="shared" si="16"/>
        <v>1</v>
      </c>
      <c r="S17" s="617">
        <f t="shared" ref="S17" si="25">S15-S16</f>
        <v>0</v>
      </c>
      <c r="T17" s="617">
        <f>T15-T16</f>
        <v>-1180410</v>
      </c>
      <c r="U17" s="340">
        <f>U15-U16</f>
        <v>0</v>
      </c>
      <c r="V17" s="342">
        <f t="shared" si="17"/>
        <v>1180410</v>
      </c>
      <c r="W17" s="341">
        <f>IFERROR(V17/ABS(T17), "-")</f>
        <v>1</v>
      </c>
      <c r="X17" s="343"/>
    </row>
    <row r="18" spans="1:24" ht="78.75" x14ac:dyDescent="0.2">
      <c r="A18" s="323">
        <v>16</v>
      </c>
      <c r="B18" s="328" t="s">
        <v>254</v>
      </c>
      <c r="C18" s="329"/>
      <c r="D18" s="329"/>
      <c r="E18" s="601"/>
      <c r="F18" s="329"/>
      <c r="G18" s="333">
        <f t="shared" si="11"/>
        <v>0</v>
      </c>
      <c r="H18" s="334" t="str">
        <f t="shared" si="12"/>
        <v>-</v>
      </c>
      <c r="I18" s="335"/>
      <c r="J18" s="329"/>
      <c r="K18" s="329"/>
      <c r="L18" s="333">
        <f t="shared" si="13"/>
        <v>0</v>
      </c>
      <c r="M18" s="334" t="str">
        <f t="shared" si="14"/>
        <v>-</v>
      </c>
      <c r="N18" s="335"/>
      <c r="O18" s="329"/>
      <c r="P18" s="329"/>
      <c r="Q18" s="333">
        <f t="shared" si="15"/>
        <v>0</v>
      </c>
      <c r="R18" s="334" t="str">
        <f t="shared" si="16"/>
        <v>-</v>
      </c>
      <c r="S18" s="335"/>
      <c r="T18" s="329"/>
      <c r="U18" s="329"/>
      <c r="V18" s="333">
        <f t="shared" si="17"/>
        <v>0</v>
      </c>
      <c r="W18" s="334" t="str">
        <f t="shared" si="18"/>
        <v>-</v>
      </c>
      <c r="X18" s="335"/>
    </row>
    <row r="19" spans="1:24" x14ac:dyDescent="0.2">
      <c r="A19" s="323">
        <v>17</v>
      </c>
      <c r="B19" s="328" t="s">
        <v>255</v>
      </c>
      <c r="C19" s="329"/>
      <c r="D19" s="329"/>
      <c r="E19" s="601"/>
      <c r="F19" s="329"/>
      <c r="G19" s="333">
        <f t="shared" si="11"/>
        <v>0</v>
      </c>
      <c r="H19" s="334" t="str">
        <f t="shared" si="12"/>
        <v>-</v>
      </c>
      <c r="I19" s="335"/>
      <c r="J19" s="329"/>
      <c r="K19" s="329"/>
      <c r="L19" s="333">
        <f t="shared" si="13"/>
        <v>0</v>
      </c>
      <c r="M19" s="334" t="str">
        <f t="shared" si="14"/>
        <v>-</v>
      </c>
      <c r="N19" s="335"/>
      <c r="O19" s="329"/>
      <c r="P19" s="329"/>
      <c r="Q19" s="333">
        <f t="shared" si="15"/>
        <v>0</v>
      </c>
      <c r="R19" s="334" t="str">
        <f t="shared" si="16"/>
        <v>-</v>
      </c>
      <c r="S19" s="335"/>
      <c r="T19" s="329"/>
      <c r="U19" s="329"/>
      <c r="V19" s="333">
        <f t="shared" si="17"/>
        <v>0</v>
      </c>
      <c r="W19" s="334" t="str">
        <f t="shared" si="18"/>
        <v>-</v>
      </c>
      <c r="X19" s="335"/>
    </row>
    <row r="20" spans="1:24" ht="47.25" x14ac:dyDescent="0.2">
      <c r="A20" s="615">
        <v>18</v>
      </c>
      <c r="B20" s="616" t="s">
        <v>256</v>
      </c>
      <c r="C20" s="609">
        <f>C17-C18-C19</f>
        <v>-552929</v>
      </c>
      <c r="D20" s="609">
        <f>D17-D18-D19</f>
        <v>-1180410</v>
      </c>
      <c r="E20" s="610">
        <f>E17-E18-E19</f>
        <v>146802</v>
      </c>
      <c r="F20" s="609">
        <f t="shared" ref="F20:G20" si="26">F17-F18-F19</f>
        <v>0</v>
      </c>
      <c r="G20" s="609">
        <f t="shared" si="26"/>
        <v>-146802</v>
      </c>
      <c r="H20" s="619">
        <f t="shared" si="12"/>
        <v>-1</v>
      </c>
      <c r="I20" s="621"/>
      <c r="J20" s="609">
        <f>J17-J18-J19</f>
        <v>-130523</v>
      </c>
      <c r="K20" s="609">
        <f t="shared" ref="K20:U20" si="27">K17-K18-K19</f>
        <v>0</v>
      </c>
      <c r="L20" s="609">
        <f t="shared" si="27"/>
        <v>130523</v>
      </c>
      <c r="M20" s="619">
        <f t="shared" si="14"/>
        <v>1</v>
      </c>
      <c r="N20" s="621"/>
      <c r="O20" s="609">
        <f>O17-O18-O19</f>
        <v>-461700</v>
      </c>
      <c r="P20" s="609">
        <f t="shared" ref="P20" si="28">P17-P18-P19</f>
        <v>0</v>
      </c>
      <c r="Q20" s="609">
        <f t="shared" si="27"/>
        <v>461700</v>
      </c>
      <c r="R20" s="619">
        <f t="shared" si="16"/>
        <v>1</v>
      </c>
      <c r="S20" s="609">
        <f t="shared" ref="S20" si="29">S17-S18-S19</f>
        <v>0</v>
      </c>
      <c r="T20" s="609">
        <f>T17-T18-T19</f>
        <v>-1180410</v>
      </c>
      <c r="U20" s="336">
        <f t="shared" si="27"/>
        <v>0</v>
      </c>
      <c r="V20" s="337">
        <f t="shared" si="17"/>
        <v>1180410</v>
      </c>
      <c r="W20" s="338">
        <f>IFERROR(V20/ABS(T20), "-")</f>
        <v>1</v>
      </c>
      <c r="X20" s="339"/>
    </row>
    <row r="21" spans="1:24" ht="47.25" x14ac:dyDescent="0.2">
      <c r="A21" s="344">
        <v>19</v>
      </c>
      <c r="B21" s="345" t="s">
        <v>257</v>
      </c>
      <c r="C21" s="346"/>
      <c r="D21" s="346"/>
      <c r="E21" s="603"/>
      <c r="F21" s="346"/>
      <c r="G21" s="347"/>
      <c r="H21" s="348"/>
      <c r="I21" s="574"/>
      <c r="J21" s="370"/>
      <c r="K21" s="346"/>
      <c r="L21" s="347"/>
      <c r="M21" s="348"/>
      <c r="N21" s="574"/>
      <c r="O21" s="370"/>
      <c r="P21" s="370"/>
      <c r="Q21" s="371"/>
      <c r="R21" s="372"/>
      <c r="S21" s="373"/>
      <c r="T21" s="370"/>
      <c r="U21" s="346"/>
      <c r="V21" s="347"/>
      <c r="W21" s="348"/>
      <c r="X21" s="349"/>
    </row>
    <row r="22" spans="1:24" ht="19.5" x14ac:dyDescent="0.2">
      <c r="A22" s="19"/>
      <c r="B22" s="20"/>
      <c r="C22" s="21"/>
      <c r="D22" s="21"/>
      <c r="E22" s="604"/>
      <c r="F22" s="375"/>
      <c r="G22" s="375"/>
      <c r="H22" s="375"/>
      <c r="I22" s="375"/>
      <c r="J22" s="375"/>
      <c r="K22" s="375"/>
      <c r="L22" s="376"/>
      <c r="M22" s="377"/>
      <c r="N22" s="378"/>
      <c r="O22" s="375"/>
      <c r="P22" s="375"/>
      <c r="Q22" s="376"/>
      <c r="R22" s="377"/>
      <c r="S22" s="378"/>
      <c r="T22" s="375"/>
      <c r="U22" s="21"/>
      <c r="V22" s="350"/>
      <c r="W22" s="351"/>
      <c r="X22" s="22"/>
    </row>
    <row r="23" spans="1:24" ht="19.5" x14ac:dyDescent="0.2">
      <c r="A23" s="19"/>
      <c r="B23" s="20"/>
      <c r="C23" s="21"/>
      <c r="D23" s="21"/>
      <c r="E23" s="604"/>
      <c r="F23" s="375"/>
      <c r="G23" s="375"/>
      <c r="H23" s="375"/>
      <c r="I23" s="375"/>
      <c r="J23" s="375"/>
      <c r="K23" s="375"/>
      <c r="L23" s="376"/>
      <c r="M23" s="377"/>
      <c r="N23" s="378"/>
      <c r="O23" s="375"/>
      <c r="P23" s="375"/>
      <c r="Q23" s="376"/>
      <c r="R23" s="377"/>
      <c r="S23" s="378"/>
      <c r="T23" s="375"/>
      <c r="U23" s="21"/>
      <c r="V23" s="350"/>
      <c r="W23" s="351"/>
      <c r="X23" s="22"/>
    </row>
    <row r="24" spans="1:24" ht="26.25" customHeight="1" x14ac:dyDescent="0.25">
      <c r="A24" s="759" t="s">
        <v>230</v>
      </c>
      <c r="B24" s="759"/>
      <c r="C24" s="352"/>
      <c r="D24" s="379"/>
      <c r="E24" s="605"/>
      <c r="F24" s="380"/>
      <c r="G24" s="380"/>
      <c r="H24" s="380"/>
      <c r="I24" s="380"/>
      <c r="J24" s="381"/>
      <c r="K24" s="382"/>
      <c r="L24" s="382"/>
      <c r="M24" s="382"/>
      <c r="N24" s="382"/>
      <c r="O24" s="383"/>
      <c r="P24" s="382"/>
      <c r="Q24" s="382"/>
      <c r="R24" s="382"/>
      <c r="S24" s="382"/>
      <c r="T24" s="384"/>
      <c r="U24" s="6"/>
      <c r="V24" s="6"/>
      <c r="W24" s="6"/>
      <c r="X24" s="6"/>
    </row>
    <row r="25" spans="1:24" ht="63.75" customHeight="1" x14ac:dyDescent="0.2">
      <c r="A25" s="760" t="s">
        <v>258</v>
      </c>
      <c r="B25" s="760"/>
      <c r="C25" s="760"/>
      <c r="D25" s="760"/>
      <c r="E25" s="760"/>
      <c r="F25" s="542"/>
      <c r="G25" s="542"/>
      <c r="H25" s="542"/>
      <c r="I25" s="542"/>
      <c r="J25" s="385"/>
      <c r="O25" s="386"/>
      <c r="P25" s="387"/>
      <c r="Q25" s="387"/>
      <c r="R25" s="387"/>
      <c r="S25" s="387"/>
      <c r="T25" s="386"/>
    </row>
    <row r="26" spans="1:24" ht="44.25" customHeight="1" x14ac:dyDescent="0.2">
      <c r="A26" s="758" t="s">
        <v>259</v>
      </c>
      <c r="B26" s="758"/>
      <c r="C26" s="758"/>
      <c r="D26" s="758"/>
      <c r="E26" s="758"/>
      <c r="F26" s="541"/>
      <c r="G26" s="541"/>
      <c r="H26" s="541"/>
      <c r="I26" s="541"/>
      <c r="J26" s="6"/>
      <c r="K26" s="6"/>
      <c r="L26" s="6"/>
      <c r="M26" s="6"/>
      <c r="N26" s="6"/>
      <c r="O26" s="6"/>
      <c r="P26" s="6"/>
      <c r="Q26" s="6"/>
      <c r="R26" s="6"/>
      <c r="S26" s="6"/>
      <c r="T26" s="6"/>
      <c r="U26" s="6"/>
      <c r="V26" s="6"/>
      <c r="W26" s="6"/>
      <c r="X26" s="6"/>
    </row>
    <row r="27" spans="1:24" x14ac:dyDescent="0.2">
      <c r="A27" s="6"/>
      <c r="B27" s="6"/>
      <c r="C27" s="6"/>
      <c r="D27" s="6"/>
      <c r="E27" s="606"/>
      <c r="F27" s="6"/>
      <c r="G27" s="6"/>
      <c r="H27" s="6"/>
      <c r="I27" s="6"/>
      <c r="J27" s="6"/>
      <c r="K27" s="6"/>
      <c r="L27" s="6"/>
      <c r="M27" s="6"/>
      <c r="N27" s="6"/>
      <c r="O27" s="6"/>
      <c r="P27" s="6"/>
      <c r="Q27" s="6"/>
      <c r="R27" s="6"/>
      <c r="S27" s="6"/>
      <c r="T27" s="6"/>
      <c r="U27" s="6"/>
      <c r="V27" s="6"/>
      <c r="W27" s="6"/>
      <c r="X27" s="6"/>
    </row>
    <row r="28" spans="1:24" x14ac:dyDescent="0.2">
      <c r="A28" s="6"/>
      <c r="B28" s="6"/>
      <c r="C28" s="6"/>
      <c r="D28" s="6"/>
      <c r="E28" s="606"/>
      <c r="F28" s="6"/>
      <c r="G28" s="6"/>
      <c r="H28" s="6"/>
      <c r="I28" s="6"/>
      <c r="J28" s="6"/>
      <c r="K28" s="6"/>
      <c r="L28" s="6"/>
      <c r="M28" s="6"/>
      <c r="N28" s="6"/>
      <c r="O28" s="6"/>
      <c r="P28" s="6"/>
      <c r="Q28" s="6"/>
      <c r="R28" s="6"/>
      <c r="S28" s="6"/>
      <c r="T28" s="6"/>
      <c r="U28" s="6"/>
      <c r="V28" s="6"/>
      <c r="W28" s="6"/>
      <c r="X28" s="6"/>
    </row>
    <row r="29" spans="1:24" ht="18.75" x14ac:dyDescent="0.2">
      <c r="A29" s="9"/>
      <c r="B29" s="8"/>
      <c r="C29" s="7"/>
      <c r="D29" s="7"/>
      <c r="E29" s="607"/>
      <c r="F29" s="7"/>
      <c r="G29" s="7"/>
      <c r="H29" s="7"/>
      <c r="I29" s="7"/>
      <c r="J29" s="7"/>
      <c r="K29" s="7"/>
      <c r="L29" s="7"/>
      <c r="M29" s="7"/>
      <c r="N29" s="7"/>
      <c r="O29" s="7"/>
      <c r="P29" s="7"/>
      <c r="Q29" s="7"/>
      <c r="R29" s="7"/>
      <c r="S29" s="7"/>
      <c r="T29" s="7"/>
      <c r="U29" s="7"/>
      <c r="V29" s="7"/>
      <c r="W29" s="7"/>
      <c r="X29" s="7"/>
    </row>
    <row r="30" spans="1:24" ht="18.75" x14ac:dyDescent="0.2">
      <c r="A30" s="9"/>
      <c r="B30" s="8"/>
      <c r="C30" s="7"/>
      <c r="D30" s="7"/>
      <c r="E30" s="607"/>
      <c r="F30" s="7"/>
      <c r="G30" s="7"/>
      <c r="H30" s="7"/>
      <c r="I30" s="7"/>
      <c r="J30" s="7"/>
      <c r="K30" s="7"/>
      <c r="L30" s="7"/>
      <c r="M30" s="7"/>
      <c r="N30" s="7"/>
      <c r="O30" s="7"/>
      <c r="P30" s="7"/>
      <c r="Q30" s="7"/>
      <c r="R30" s="7"/>
      <c r="S30" s="7"/>
      <c r="T30" s="7"/>
      <c r="U30" s="7"/>
      <c r="V30" s="7"/>
      <c r="W30" s="7"/>
      <c r="X30" s="7"/>
    </row>
    <row r="31" spans="1:24" ht="18.75" x14ac:dyDescent="0.2">
      <c r="A31" s="9"/>
      <c r="B31" s="8"/>
      <c r="C31" s="7"/>
      <c r="D31" s="7"/>
      <c r="E31" s="607"/>
      <c r="F31" s="7"/>
      <c r="G31" s="7"/>
      <c r="H31" s="7"/>
      <c r="I31" s="7"/>
      <c r="J31" s="7"/>
      <c r="K31" s="7"/>
      <c r="L31" s="7"/>
      <c r="M31" s="7"/>
      <c r="N31" s="7"/>
      <c r="O31" s="7"/>
      <c r="P31" s="7"/>
      <c r="Q31" s="7"/>
      <c r="R31" s="7"/>
      <c r="S31" s="7"/>
      <c r="T31" s="7"/>
      <c r="U31" s="7"/>
      <c r="V31" s="7"/>
      <c r="W31" s="7"/>
      <c r="X31" s="7"/>
    </row>
    <row r="32" spans="1:24" ht="18.75" x14ac:dyDescent="0.2">
      <c r="A32" s="9"/>
      <c r="B32" s="8"/>
      <c r="C32" s="7"/>
      <c r="D32" s="7"/>
      <c r="E32" s="607"/>
      <c r="F32" s="7"/>
      <c r="G32" s="7"/>
      <c r="H32" s="7"/>
      <c r="I32" s="7"/>
      <c r="J32" s="7"/>
      <c r="K32" s="7"/>
      <c r="L32" s="7"/>
      <c r="M32" s="7"/>
      <c r="N32" s="7"/>
      <c r="O32" s="7"/>
      <c r="P32" s="7"/>
      <c r="Q32" s="7"/>
      <c r="R32" s="7"/>
      <c r="S32" s="7"/>
      <c r="T32" s="7"/>
      <c r="U32" s="7"/>
      <c r="V32" s="7"/>
      <c r="W32" s="7"/>
      <c r="X32" s="7"/>
    </row>
    <row r="33" spans="1:24" ht="18.75" x14ac:dyDescent="0.2">
      <c r="A33" s="9"/>
      <c r="B33" s="8"/>
      <c r="C33" s="7"/>
      <c r="D33" s="7"/>
      <c r="E33" s="607"/>
      <c r="F33" s="7"/>
      <c r="G33" s="7"/>
      <c r="H33" s="7"/>
      <c r="I33" s="7"/>
      <c r="J33" s="7"/>
      <c r="K33" s="7"/>
      <c r="L33" s="7"/>
      <c r="M33" s="7"/>
      <c r="N33" s="7"/>
      <c r="O33" s="7"/>
      <c r="P33" s="7"/>
      <c r="Q33" s="7"/>
      <c r="R33" s="7"/>
      <c r="S33" s="7"/>
      <c r="T33" s="7"/>
      <c r="U33" s="7"/>
      <c r="V33" s="7"/>
      <c r="W33" s="7"/>
      <c r="X33" s="7"/>
    </row>
    <row r="34" spans="1:24" ht="18.75" x14ac:dyDescent="0.2">
      <c r="A34" s="9"/>
      <c r="B34" s="8"/>
      <c r="C34" s="7"/>
      <c r="D34" s="7"/>
      <c r="E34" s="607"/>
      <c r="F34" s="7"/>
      <c r="G34" s="7"/>
      <c r="H34" s="7"/>
      <c r="I34" s="7"/>
      <c r="J34" s="7"/>
      <c r="K34" s="7"/>
      <c r="L34" s="7"/>
      <c r="M34" s="7"/>
      <c r="N34" s="7"/>
      <c r="O34" s="7"/>
      <c r="P34" s="7"/>
      <c r="Q34" s="7"/>
      <c r="R34" s="7"/>
      <c r="S34" s="7"/>
      <c r="T34" s="7"/>
      <c r="U34" s="7"/>
      <c r="V34" s="7"/>
      <c r="W34" s="7"/>
      <c r="X34" s="7"/>
    </row>
  </sheetData>
  <sheetProtection formatColumns="0" formatRows="0"/>
  <mergeCells count="3">
    <mergeCell ref="A26:E26"/>
    <mergeCell ref="A24:B24"/>
    <mergeCell ref="A25:E25"/>
  </mergeCells>
  <pageMargins left="0.23622047244094491" right="0.23622047244094491" top="0.74803149606299213" bottom="0.74803149606299213" header="0.31496062992125984" footer="0.31496062992125984"/>
  <pageSetup paperSize="9" fitToHeight="0" orientation="portrait" verticalDpi="90" r:id="rId1"/>
  <headerFooter>
    <oddHeader>&amp;C&amp;"Times New Roman,Bold"&amp;14Peļņas vai zaudējumu aprēķins&amp;R&amp;"Times New Roman,Regular"&amp;14 2.pielikums</oddHeader>
    <oddFooter>&amp;C&amp;"Times New Roman,Regular"&amp;12&amp;F&amp;R&amp;"Times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7"/>
  <sheetViews>
    <sheetView view="pageBreakPreview" zoomScaleNormal="85" zoomScaleSheetLayoutView="100" workbookViewId="0">
      <pane ySplit="1" topLeftCell="A80" activePane="bottomLeft" state="frozen"/>
      <selection pane="bottomLeft" sqref="A1:I87"/>
    </sheetView>
  </sheetViews>
  <sheetFormatPr defaultColWidth="9.140625" defaultRowHeight="15.75" outlineLevelCol="1" x14ac:dyDescent="0.2"/>
  <cols>
    <col min="1" max="1" width="9.140625" style="32" customWidth="1"/>
    <col min="2" max="2" width="51.5703125" style="32" bestFit="1" customWidth="1"/>
    <col min="3" max="3" width="11.140625" style="36" bestFit="1" customWidth="1"/>
    <col min="4" max="4" width="11.140625" style="436" bestFit="1" customWidth="1"/>
    <col min="5" max="5" width="11.140625" style="436" hidden="1" customWidth="1"/>
    <col min="6" max="6" width="17.7109375" style="36" hidden="1" customWidth="1" outlineLevel="1"/>
    <col min="7" max="8" width="17.7109375" style="43" hidden="1" customWidth="1" outlineLevel="1"/>
    <col min="9" max="9" width="43.28515625" style="36" hidden="1" customWidth="1" outlineLevel="1"/>
    <col min="10" max="10" width="15" style="436" hidden="1" customWidth="1" collapsed="1"/>
    <col min="11" max="11" width="17.7109375" style="36" hidden="1" customWidth="1" outlineLevel="1"/>
    <col min="12" max="13" width="17.7109375" style="43" hidden="1" customWidth="1" outlineLevel="1"/>
    <col min="14" max="14" width="43.28515625" style="36" hidden="1" customWidth="1" outlineLevel="1"/>
    <col min="15" max="15" width="13.42578125" style="436" hidden="1" customWidth="1" collapsed="1"/>
    <col min="16" max="16" width="17.7109375" style="36" hidden="1" customWidth="1" outlineLevel="1"/>
    <col min="17" max="17" width="4" style="43" hidden="1" customWidth="1" outlineLevel="1"/>
    <col min="18" max="18" width="9" style="43" hidden="1" customWidth="1" outlineLevel="1"/>
    <col min="19" max="19" width="9" style="36" hidden="1" customWidth="1" outlineLevel="1"/>
    <col min="20" max="20" width="11.140625" style="436" hidden="1" customWidth="1" collapsed="1"/>
    <col min="21" max="21" width="17.7109375" style="36" hidden="1" customWidth="1" outlineLevel="1"/>
    <col min="22" max="23" width="17.7109375" style="43" hidden="1" customWidth="1" outlineLevel="1"/>
    <col min="24" max="24" width="43.28515625" style="36" hidden="1" customWidth="1" outlineLevel="1"/>
    <col min="25" max="25" width="9.140625" style="36" customWidth="1" collapsed="1"/>
    <col min="26" max="26" width="9.140625" style="36"/>
    <col min="27" max="27" width="14.140625" style="36" customWidth="1"/>
    <col min="28" max="28" width="15.140625" style="36" customWidth="1"/>
    <col min="29" max="29" width="14.85546875" style="36" customWidth="1"/>
    <col min="30" max="16384" width="9.140625" style="36"/>
  </cols>
  <sheetData>
    <row r="1" spans="1:31" s="32" customFormat="1" ht="132" customHeight="1" x14ac:dyDescent="0.2">
      <c r="A1" s="23" t="s">
        <v>0</v>
      </c>
      <c r="B1" s="31" t="s">
        <v>260</v>
      </c>
      <c r="C1" s="466" t="s">
        <v>2</v>
      </c>
      <c r="D1" s="466" t="s">
        <v>3</v>
      </c>
      <c r="E1" s="466" t="s">
        <v>4</v>
      </c>
      <c r="F1" s="466" t="s">
        <v>5</v>
      </c>
      <c r="G1" s="628" t="s">
        <v>6</v>
      </c>
      <c r="H1" s="629" t="s">
        <v>7</v>
      </c>
      <c r="I1" s="466" t="s">
        <v>261</v>
      </c>
      <c r="J1" s="466" t="s">
        <v>9</v>
      </c>
      <c r="K1" s="466" t="s">
        <v>10</v>
      </c>
      <c r="L1" s="628" t="s">
        <v>6</v>
      </c>
      <c r="M1" s="629" t="s">
        <v>7</v>
      </c>
      <c r="N1" s="466" t="s">
        <v>261</v>
      </c>
      <c r="O1" s="466" t="s">
        <v>11</v>
      </c>
      <c r="P1" s="466" t="s">
        <v>12</v>
      </c>
      <c r="Q1" s="628" t="s">
        <v>6</v>
      </c>
      <c r="R1" s="629" t="s">
        <v>7</v>
      </c>
      <c r="S1" s="466" t="s">
        <v>261</v>
      </c>
      <c r="T1" s="466" t="s">
        <v>13</v>
      </c>
      <c r="U1" s="466" t="s">
        <v>14</v>
      </c>
      <c r="V1" s="628" t="s">
        <v>6</v>
      </c>
      <c r="W1" s="629" t="s">
        <v>7</v>
      </c>
      <c r="X1" s="466" t="s">
        <v>261</v>
      </c>
      <c r="Y1" s="630"/>
      <c r="Z1" s="630"/>
    </row>
    <row r="2" spans="1:31" s="32" customFormat="1" ht="12" customHeight="1" x14ac:dyDescent="0.2">
      <c r="A2" s="33">
        <v>1</v>
      </c>
      <c r="B2" s="24">
        <v>2</v>
      </c>
      <c r="C2" s="466">
        <v>3</v>
      </c>
      <c r="D2" s="466">
        <v>4</v>
      </c>
      <c r="E2" s="466">
        <v>5</v>
      </c>
      <c r="F2" s="466">
        <v>6</v>
      </c>
      <c r="G2" s="628">
        <v>7</v>
      </c>
      <c r="H2" s="631">
        <v>8</v>
      </c>
      <c r="I2" s="466">
        <v>9</v>
      </c>
      <c r="J2" s="466">
        <v>10</v>
      </c>
      <c r="K2" s="466">
        <v>11</v>
      </c>
      <c r="L2" s="628">
        <v>12</v>
      </c>
      <c r="M2" s="631">
        <v>13</v>
      </c>
      <c r="N2" s="466">
        <v>14</v>
      </c>
      <c r="O2" s="466">
        <v>15</v>
      </c>
      <c r="P2" s="466">
        <v>16</v>
      </c>
      <c r="Q2" s="628">
        <v>17</v>
      </c>
      <c r="R2" s="631">
        <v>18</v>
      </c>
      <c r="S2" s="466">
        <v>19</v>
      </c>
      <c r="T2" s="466">
        <v>20</v>
      </c>
      <c r="U2" s="466">
        <v>21</v>
      </c>
      <c r="V2" s="628">
        <v>22</v>
      </c>
      <c r="W2" s="631">
        <v>23</v>
      </c>
      <c r="X2" s="466">
        <v>24</v>
      </c>
      <c r="Y2" s="630"/>
      <c r="Z2" s="630"/>
    </row>
    <row r="3" spans="1:31" s="32" customFormat="1" x14ac:dyDescent="0.2">
      <c r="A3" s="622">
        <v>1000</v>
      </c>
      <c r="B3" s="623" t="s">
        <v>262</v>
      </c>
      <c r="C3" s="625">
        <f>C4+C11</f>
        <v>14094863</v>
      </c>
      <c r="D3" s="625">
        <f>D4+D11</f>
        <v>16135045</v>
      </c>
      <c r="E3" s="625">
        <f>E4+E11+E21</f>
        <v>14233827</v>
      </c>
      <c r="F3" s="625">
        <f t="shared" ref="F3" si="0">F4+F11</f>
        <v>0</v>
      </c>
      <c r="G3" s="632">
        <f t="shared" ref="G3:G20" si="1">F3-E3</f>
        <v>-14233827</v>
      </c>
      <c r="H3" s="633">
        <f t="shared" ref="H3:H47" si="2">IFERROR(G3/ABS(E3), "-")</f>
        <v>-1</v>
      </c>
      <c r="I3" s="634"/>
      <c r="J3" s="625">
        <f>J4+J11+J21</f>
        <v>14583277</v>
      </c>
      <c r="K3" s="625">
        <f>K4+K11+K21</f>
        <v>0</v>
      </c>
      <c r="L3" s="632">
        <f t="shared" ref="L3:L20" si="3">K3-J3</f>
        <v>-14583277</v>
      </c>
      <c r="M3" s="633">
        <f t="shared" ref="M3:M47" si="4">IFERROR(L3/ABS(J3), "-")</f>
        <v>-1</v>
      </c>
      <c r="N3" s="635"/>
      <c r="O3" s="625">
        <f>O4+O11+O21</f>
        <v>16233127</v>
      </c>
      <c r="P3" s="625">
        <f>P4+P11+P21</f>
        <v>0</v>
      </c>
      <c r="Q3" s="632">
        <f t="shared" ref="Q3:Q20" si="5">P3-O3</f>
        <v>-16233127</v>
      </c>
      <c r="R3" s="633">
        <f t="shared" ref="R3:R43" si="6">IFERROR(Q3/ABS(O3), "-")</f>
        <v>-1</v>
      </c>
      <c r="S3" s="634"/>
      <c r="T3" s="625">
        <f>T4+T11+T21</f>
        <v>16135045</v>
      </c>
      <c r="U3" s="636">
        <f>U4+U11+U21</f>
        <v>0</v>
      </c>
      <c r="V3" s="637">
        <f t="shared" ref="V3:V47" si="7">U3-T3</f>
        <v>-16135045</v>
      </c>
      <c r="W3" s="638">
        <f t="shared" ref="W3:W47" si="8">IFERROR(V3/ABS(T3), "-")</f>
        <v>-1</v>
      </c>
      <c r="X3" s="639"/>
      <c r="Y3" s="630"/>
      <c r="Z3" s="630"/>
    </row>
    <row r="4" spans="1:31" s="32" customFormat="1" ht="15.75" customHeight="1" x14ac:dyDescent="0.2">
      <c r="A4" s="160">
        <v>1100</v>
      </c>
      <c r="B4" s="44" t="s">
        <v>263</v>
      </c>
      <c r="C4" s="458">
        <f>C5+C6+C7+C8+C9+C10</f>
        <v>359335</v>
      </c>
      <c r="D4" s="458">
        <f>D5+D6+D7+D8+D9+D10</f>
        <v>250335</v>
      </c>
      <c r="E4" s="458">
        <f t="shared" ref="E4" si="9">E5+E6+E7+E8+E9</f>
        <v>332085</v>
      </c>
      <c r="F4" s="458">
        <f>F5+F6+F7+F8+F9</f>
        <v>0</v>
      </c>
      <c r="G4" s="640">
        <f t="shared" si="1"/>
        <v>-332085</v>
      </c>
      <c r="H4" s="641">
        <f t="shared" si="2"/>
        <v>-1</v>
      </c>
      <c r="I4" s="771"/>
      <c r="J4" s="458">
        <f t="shared" ref="J4" si="10">J5+J6+J7+J8+J9</f>
        <v>304835</v>
      </c>
      <c r="K4" s="458">
        <f>K5+K6+K7+K8+K9</f>
        <v>0</v>
      </c>
      <c r="L4" s="640">
        <f t="shared" si="3"/>
        <v>-304835</v>
      </c>
      <c r="M4" s="641">
        <f t="shared" si="4"/>
        <v>-1</v>
      </c>
      <c r="N4" s="774"/>
      <c r="O4" s="458">
        <f t="shared" ref="O4" si="11">O5+O6+O7+O8+O9</f>
        <v>277585</v>
      </c>
      <c r="P4" s="458">
        <f>P5+P6+P7+P8+P9</f>
        <v>0</v>
      </c>
      <c r="Q4" s="640">
        <f>P4-O4</f>
        <v>-277585</v>
      </c>
      <c r="R4" s="641">
        <f t="shared" si="6"/>
        <v>-1</v>
      </c>
      <c r="S4" s="764"/>
      <c r="T4" s="458">
        <f t="shared" ref="T4" si="12">T5+T6+T7+T8+T9</f>
        <v>250335</v>
      </c>
      <c r="U4" s="458">
        <f>U5+U6+U7+U8+U9</f>
        <v>0</v>
      </c>
      <c r="V4" s="640">
        <f t="shared" si="7"/>
        <v>-250335</v>
      </c>
      <c r="W4" s="641">
        <f t="shared" si="8"/>
        <v>-1</v>
      </c>
      <c r="X4" s="766"/>
      <c r="Y4" s="630"/>
      <c r="Z4" s="630"/>
    </row>
    <row r="5" spans="1:31" x14ac:dyDescent="0.2">
      <c r="A5" s="265">
        <v>1110</v>
      </c>
      <c r="B5" s="35" t="s">
        <v>264</v>
      </c>
      <c r="C5" s="548"/>
      <c r="D5" s="548"/>
      <c r="E5" s="548"/>
      <c r="F5" s="548"/>
      <c r="G5" s="550">
        <f t="shared" si="1"/>
        <v>0</v>
      </c>
      <c r="H5" s="551" t="str">
        <f t="shared" si="2"/>
        <v>-</v>
      </c>
      <c r="I5" s="772"/>
      <c r="J5" s="548"/>
      <c r="K5" s="549"/>
      <c r="L5" s="550">
        <f t="shared" si="3"/>
        <v>0</v>
      </c>
      <c r="M5" s="551" t="str">
        <f t="shared" si="4"/>
        <v>-</v>
      </c>
      <c r="N5" s="775"/>
      <c r="O5" s="548"/>
      <c r="P5" s="548"/>
      <c r="Q5" s="550">
        <f t="shared" si="5"/>
        <v>0</v>
      </c>
      <c r="R5" s="551" t="str">
        <f t="shared" si="6"/>
        <v>-</v>
      </c>
      <c r="S5" s="765"/>
      <c r="T5" s="548"/>
      <c r="U5" s="548"/>
      <c r="V5" s="550">
        <f t="shared" si="7"/>
        <v>0</v>
      </c>
      <c r="W5" s="551" t="str">
        <f t="shared" si="8"/>
        <v>-</v>
      </c>
      <c r="X5" s="767"/>
      <c r="Y5" s="554"/>
      <c r="Z5" s="554"/>
    </row>
    <row r="6" spans="1:31" ht="31.5" x14ac:dyDescent="0.2">
      <c r="A6" s="265">
        <v>1120</v>
      </c>
      <c r="B6" s="35" t="s">
        <v>265</v>
      </c>
      <c r="C6" s="548">
        <v>359335</v>
      </c>
      <c r="D6" s="548">
        <v>250335</v>
      </c>
      <c r="E6" s="548">
        <v>332085</v>
      </c>
      <c r="F6" s="548"/>
      <c r="G6" s="550">
        <f t="shared" si="1"/>
        <v>-332085</v>
      </c>
      <c r="H6" s="551">
        <f t="shared" si="2"/>
        <v>-1</v>
      </c>
      <c r="I6" s="772"/>
      <c r="J6" s="548">
        <v>304835</v>
      </c>
      <c r="K6" s="549"/>
      <c r="L6" s="550">
        <f t="shared" si="3"/>
        <v>-304835</v>
      </c>
      <c r="M6" s="551">
        <f t="shared" si="4"/>
        <v>-1</v>
      </c>
      <c r="N6" s="775"/>
      <c r="O6" s="548">
        <v>277585</v>
      </c>
      <c r="P6" s="548"/>
      <c r="Q6" s="550">
        <f t="shared" si="5"/>
        <v>-277585</v>
      </c>
      <c r="R6" s="551">
        <f t="shared" si="6"/>
        <v>-1</v>
      </c>
      <c r="S6" s="765"/>
      <c r="T6" s="548">
        <v>250335</v>
      </c>
      <c r="U6" s="548"/>
      <c r="V6" s="550">
        <f t="shared" si="7"/>
        <v>-250335</v>
      </c>
      <c r="W6" s="551">
        <f t="shared" si="8"/>
        <v>-1</v>
      </c>
      <c r="X6" s="767"/>
      <c r="Y6" s="554"/>
      <c r="Z6" s="554"/>
    </row>
    <row r="7" spans="1:31" x14ac:dyDescent="0.2">
      <c r="A7" s="265">
        <v>1130</v>
      </c>
      <c r="B7" s="35" t="s">
        <v>266</v>
      </c>
      <c r="C7" s="548"/>
      <c r="D7" s="548"/>
      <c r="E7" s="548"/>
      <c r="F7" s="548"/>
      <c r="G7" s="550">
        <f t="shared" si="1"/>
        <v>0</v>
      </c>
      <c r="H7" s="551" t="str">
        <f t="shared" si="2"/>
        <v>-</v>
      </c>
      <c r="I7" s="772"/>
      <c r="J7" s="548"/>
      <c r="K7" s="549"/>
      <c r="L7" s="550">
        <f t="shared" si="3"/>
        <v>0</v>
      </c>
      <c r="M7" s="551" t="str">
        <f t="shared" si="4"/>
        <v>-</v>
      </c>
      <c r="N7" s="775"/>
      <c r="O7" s="548"/>
      <c r="P7" s="548"/>
      <c r="Q7" s="550">
        <f t="shared" si="5"/>
        <v>0</v>
      </c>
      <c r="R7" s="551" t="str">
        <f t="shared" si="6"/>
        <v>-</v>
      </c>
      <c r="S7" s="765"/>
      <c r="T7" s="548"/>
      <c r="U7" s="548"/>
      <c r="V7" s="550">
        <f t="shared" si="7"/>
        <v>0</v>
      </c>
      <c r="W7" s="551" t="str">
        <f t="shared" si="8"/>
        <v>-</v>
      </c>
      <c r="X7" s="767"/>
      <c r="Y7" s="554"/>
      <c r="Z7" s="554"/>
    </row>
    <row r="8" spans="1:31" x14ac:dyDescent="0.2">
      <c r="A8" s="265">
        <v>1140</v>
      </c>
      <c r="B8" s="35" t="s">
        <v>267</v>
      </c>
      <c r="C8" s="548"/>
      <c r="D8" s="548"/>
      <c r="E8" s="548"/>
      <c r="F8" s="548"/>
      <c r="G8" s="550">
        <f t="shared" si="1"/>
        <v>0</v>
      </c>
      <c r="H8" s="551" t="str">
        <f t="shared" si="2"/>
        <v>-</v>
      </c>
      <c r="I8" s="772"/>
      <c r="J8" s="548"/>
      <c r="K8" s="549"/>
      <c r="L8" s="550">
        <f t="shared" si="3"/>
        <v>0</v>
      </c>
      <c r="M8" s="551" t="str">
        <f t="shared" si="4"/>
        <v>-</v>
      </c>
      <c r="N8" s="775"/>
      <c r="O8" s="548"/>
      <c r="P8" s="548"/>
      <c r="Q8" s="550">
        <f t="shared" si="5"/>
        <v>0</v>
      </c>
      <c r="R8" s="551" t="str">
        <f t="shared" si="6"/>
        <v>-</v>
      </c>
      <c r="S8" s="765"/>
      <c r="T8" s="548"/>
      <c r="U8" s="548"/>
      <c r="V8" s="550">
        <f t="shared" si="7"/>
        <v>0</v>
      </c>
      <c r="W8" s="551" t="str">
        <f t="shared" si="8"/>
        <v>-</v>
      </c>
      <c r="X8" s="767"/>
      <c r="Y8" s="554"/>
      <c r="Z8" s="554"/>
      <c r="AB8" s="418"/>
    </row>
    <row r="9" spans="1:31" x14ac:dyDescent="0.2">
      <c r="A9" s="265">
        <v>1180</v>
      </c>
      <c r="B9" s="35" t="s">
        <v>268</v>
      </c>
      <c r="C9" s="548"/>
      <c r="D9" s="548"/>
      <c r="E9" s="548"/>
      <c r="F9" s="548"/>
      <c r="G9" s="550">
        <f>F9-E9</f>
        <v>0</v>
      </c>
      <c r="H9" s="551" t="str">
        <f t="shared" si="2"/>
        <v>-</v>
      </c>
      <c r="I9" s="772"/>
      <c r="J9" s="548"/>
      <c r="K9" s="549"/>
      <c r="L9" s="550">
        <f t="shared" si="3"/>
        <v>0</v>
      </c>
      <c r="M9" s="551" t="str">
        <f t="shared" si="4"/>
        <v>-</v>
      </c>
      <c r="N9" s="775"/>
      <c r="O9" s="548"/>
      <c r="P9" s="548"/>
      <c r="Q9" s="550">
        <f t="shared" si="5"/>
        <v>0</v>
      </c>
      <c r="R9" s="551" t="str">
        <f t="shared" si="6"/>
        <v>-</v>
      </c>
      <c r="S9" s="765"/>
      <c r="T9" s="548"/>
      <c r="U9" s="548"/>
      <c r="V9" s="550">
        <f>U9-T9</f>
        <v>0</v>
      </c>
      <c r="W9" s="551" t="str">
        <f>IFERROR(V9/ABS(T9), "-")</f>
        <v>-</v>
      </c>
      <c r="X9" s="767"/>
      <c r="Y9" s="554"/>
      <c r="Z9" s="554"/>
    </row>
    <row r="10" spans="1:31" ht="31.5" x14ac:dyDescent="0.2">
      <c r="A10" s="265">
        <v>1190</v>
      </c>
      <c r="B10" s="35" t="s">
        <v>269</v>
      </c>
      <c r="C10" s="548"/>
      <c r="D10" s="548"/>
      <c r="E10" s="548"/>
      <c r="F10" s="548"/>
      <c r="G10" s="550">
        <f>F10-E10</f>
        <v>0</v>
      </c>
      <c r="H10" s="551" t="str">
        <f t="shared" si="2"/>
        <v>-</v>
      </c>
      <c r="I10" s="773"/>
      <c r="J10" s="548"/>
      <c r="K10" s="549"/>
      <c r="L10" s="550">
        <f t="shared" si="3"/>
        <v>0</v>
      </c>
      <c r="M10" s="551" t="str">
        <f t="shared" si="4"/>
        <v>-</v>
      </c>
      <c r="N10" s="776"/>
      <c r="O10" s="548"/>
      <c r="P10" s="548"/>
      <c r="Q10" s="550">
        <f t="shared" si="5"/>
        <v>0</v>
      </c>
      <c r="R10" s="551" t="str">
        <f t="shared" si="6"/>
        <v>-</v>
      </c>
      <c r="S10" s="777"/>
      <c r="T10" s="548"/>
      <c r="U10" s="548"/>
      <c r="V10" s="550">
        <f>U10-T10</f>
        <v>0</v>
      </c>
      <c r="W10" s="551" t="str">
        <f>IFERROR(V10/ABS(T10), "-")</f>
        <v>-</v>
      </c>
      <c r="X10" s="768"/>
      <c r="Y10" s="554"/>
      <c r="Z10" s="554"/>
      <c r="AE10" s="36" t="s">
        <v>270</v>
      </c>
    </row>
    <row r="11" spans="1:31" s="32" customFormat="1" x14ac:dyDescent="0.2">
      <c r="A11" s="160">
        <v>1200</v>
      </c>
      <c r="B11" s="44" t="s">
        <v>271</v>
      </c>
      <c r="C11" s="458">
        <f>C12+C13+C14+C15+C16+C17+C18+C19+C20</f>
        <v>13735528</v>
      </c>
      <c r="D11" s="458">
        <f>D12+D13+D14+D15+D16+D17+D18+D19+D20</f>
        <v>15884710</v>
      </c>
      <c r="E11" s="458">
        <f>E12+E13+E14+E15+E16+E17+E18+E19+E20</f>
        <v>13901742</v>
      </c>
      <c r="F11" s="458">
        <f t="shared" ref="F11" si="13">F12+F13+F14+F15+F16+F17+F18+F19+F20</f>
        <v>0</v>
      </c>
      <c r="G11" s="642">
        <f t="shared" si="1"/>
        <v>-13901742</v>
      </c>
      <c r="H11" s="641">
        <f t="shared" si="2"/>
        <v>-1</v>
      </c>
      <c r="I11" s="794"/>
      <c r="J11" s="458">
        <f>J12+J13+J14+J15+J16+J17+J18+J19+J20</f>
        <v>14278442</v>
      </c>
      <c r="K11" s="458">
        <f t="shared" ref="K11" si="14">K12+K13+K14+K15+K16+K17+K18+K19+K20</f>
        <v>0</v>
      </c>
      <c r="L11" s="642">
        <f t="shared" si="3"/>
        <v>-14278442</v>
      </c>
      <c r="M11" s="641">
        <f t="shared" si="4"/>
        <v>-1</v>
      </c>
      <c r="N11" s="801"/>
      <c r="O11" s="458">
        <f t="shared" ref="O11:P11" si="15">O12+O13+O14+O15+O16+O17+O18+O19+O20</f>
        <v>15955542</v>
      </c>
      <c r="P11" s="458">
        <f t="shared" si="15"/>
        <v>0</v>
      </c>
      <c r="Q11" s="642">
        <f t="shared" si="5"/>
        <v>-15955542</v>
      </c>
      <c r="R11" s="641">
        <f t="shared" si="6"/>
        <v>-1</v>
      </c>
      <c r="S11" s="764"/>
      <c r="T11" s="458">
        <f t="shared" ref="T11:U11" si="16">T12+T13+T14+T15+T16+T17+T18+T19+T20</f>
        <v>15884710</v>
      </c>
      <c r="U11" s="458">
        <f t="shared" si="16"/>
        <v>0</v>
      </c>
      <c r="V11" s="640">
        <f t="shared" si="7"/>
        <v>-15884710</v>
      </c>
      <c r="W11" s="641">
        <f t="shared" si="8"/>
        <v>-1</v>
      </c>
      <c r="X11" s="644"/>
      <c r="Y11" s="630"/>
      <c r="Z11" s="630"/>
    </row>
    <row r="12" spans="1:31" x14ac:dyDescent="0.2">
      <c r="A12" s="265">
        <v>1210</v>
      </c>
      <c r="B12" s="547" t="s">
        <v>272</v>
      </c>
      <c r="C12" s="548">
        <v>9395003</v>
      </c>
      <c r="D12" s="548">
        <v>9459900</v>
      </c>
      <c r="E12" s="645">
        <v>9366603</v>
      </c>
      <c r="F12" s="548"/>
      <c r="G12" s="550">
        <f t="shared" si="1"/>
        <v>-9366603</v>
      </c>
      <c r="H12" s="551">
        <f t="shared" si="2"/>
        <v>-1</v>
      </c>
      <c r="I12" s="795"/>
      <c r="J12" s="548">
        <f>E12+150000-28300</f>
        <v>9488303</v>
      </c>
      <c r="K12" s="549"/>
      <c r="L12" s="550">
        <f t="shared" si="3"/>
        <v>-9488303</v>
      </c>
      <c r="M12" s="551">
        <f t="shared" si="4"/>
        <v>-1</v>
      </c>
      <c r="N12" s="789"/>
      <c r="O12" s="549">
        <f>J12</f>
        <v>9488303</v>
      </c>
      <c r="P12" s="548"/>
      <c r="Q12" s="550">
        <f t="shared" si="5"/>
        <v>-9488303</v>
      </c>
      <c r="R12" s="551">
        <f t="shared" si="6"/>
        <v>-1</v>
      </c>
      <c r="S12" s="765"/>
      <c r="T12" s="548">
        <f>O12-28403</f>
        <v>9459900</v>
      </c>
      <c r="U12" s="548"/>
      <c r="V12" s="550">
        <f t="shared" si="7"/>
        <v>-9459900</v>
      </c>
      <c r="W12" s="551">
        <f t="shared" si="8"/>
        <v>-1</v>
      </c>
      <c r="X12" s="646"/>
      <c r="Y12" s="554"/>
      <c r="Z12" s="554"/>
    </row>
    <row r="13" spans="1:31" x14ac:dyDescent="0.2">
      <c r="A13" s="265">
        <v>1220</v>
      </c>
      <c r="B13" s="547" t="s">
        <v>273</v>
      </c>
      <c r="C13" s="548">
        <v>3163094</v>
      </c>
      <c r="D13" s="548">
        <v>4952710</v>
      </c>
      <c r="E13" s="548">
        <f>3092985+344725</f>
        <v>3437710</v>
      </c>
      <c r="F13" s="548"/>
      <c r="G13" s="550">
        <f t="shared" si="1"/>
        <v>-3437710</v>
      </c>
      <c r="H13" s="553">
        <f t="shared" si="2"/>
        <v>-1</v>
      </c>
      <c r="I13" s="795"/>
      <c r="J13" s="548">
        <f>3700000+72710</f>
        <v>3772710</v>
      </c>
      <c r="K13" s="549"/>
      <c r="L13" s="550">
        <f t="shared" si="3"/>
        <v>-3772710</v>
      </c>
      <c r="M13" s="551">
        <f t="shared" si="4"/>
        <v>-1</v>
      </c>
      <c r="N13" s="789"/>
      <c r="O13" s="549">
        <v>4957710</v>
      </c>
      <c r="P13" s="548"/>
      <c r="Q13" s="550">
        <f t="shared" si="5"/>
        <v>-4957710</v>
      </c>
      <c r="R13" s="551">
        <f t="shared" si="6"/>
        <v>-1</v>
      </c>
      <c r="S13" s="765"/>
      <c r="T13" s="549">
        <v>4952710</v>
      </c>
      <c r="U13" s="548"/>
      <c r="V13" s="550">
        <f t="shared" si="7"/>
        <v>-4952710</v>
      </c>
      <c r="W13" s="551">
        <f t="shared" si="8"/>
        <v>-1</v>
      </c>
      <c r="X13" s="644"/>
      <c r="Y13" s="554"/>
      <c r="Z13" s="554"/>
    </row>
    <row r="14" spans="1:31" x14ac:dyDescent="0.2">
      <c r="A14" s="265">
        <v>1230</v>
      </c>
      <c r="B14" s="547" t="s">
        <v>274</v>
      </c>
      <c r="C14" s="548">
        <v>1167902</v>
      </c>
      <c r="D14" s="548">
        <v>1472100</v>
      </c>
      <c r="E14" s="548">
        <v>1087900</v>
      </c>
      <c r="F14" s="548"/>
      <c r="G14" s="550">
        <f t="shared" si="1"/>
        <v>-1087900</v>
      </c>
      <c r="H14" s="551">
        <f t="shared" si="2"/>
        <v>-1</v>
      </c>
      <c r="I14" s="795"/>
      <c r="J14" s="548">
        <f>E14-80000</f>
        <v>1007900</v>
      </c>
      <c r="K14" s="549"/>
      <c r="L14" s="550">
        <f t="shared" si="3"/>
        <v>-1007900</v>
      </c>
      <c r="M14" s="551">
        <f t="shared" si="4"/>
        <v>-1</v>
      </c>
      <c r="N14" s="789"/>
      <c r="O14" s="549">
        <v>1500000</v>
      </c>
      <c r="P14" s="548"/>
      <c r="Q14" s="550">
        <f t="shared" si="5"/>
        <v>-1500000</v>
      </c>
      <c r="R14" s="551">
        <f t="shared" si="6"/>
        <v>-1</v>
      </c>
      <c r="S14" s="765"/>
      <c r="T14" s="549">
        <f>O14-80000+52100</f>
        <v>1472100</v>
      </c>
      <c r="U14" s="548"/>
      <c r="V14" s="550">
        <f t="shared" si="7"/>
        <v>-1472100</v>
      </c>
      <c r="W14" s="551">
        <f t="shared" si="8"/>
        <v>-1</v>
      </c>
      <c r="X14" s="644"/>
      <c r="Y14" s="554"/>
      <c r="Z14" s="554"/>
    </row>
    <row r="15" spans="1:31" ht="35.25" customHeight="1" x14ac:dyDescent="0.2">
      <c r="A15" s="265">
        <v>1240</v>
      </c>
      <c r="B15" s="35" t="s">
        <v>275</v>
      </c>
      <c r="C15" s="548">
        <v>9529</v>
      </c>
      <c r="D15" s="548">
        <v>0</v>
      </c>
      <c r="E15" s="548">
        <v>9529</v>
      </c>
      <c r="F15" s="548"/>
      <c r="G15" s="550">
        <f t="shared" si="1"/>
        <v>-9529</v>
      </c>
      <c r="H15" s="551">
        <f t="shared" si="2"/>
        <v>-1</v>
      </c>
      <c r="I15" s="795"/>
      <c r="J15" s="548">
        <v>9529</v>
      </c>
      <c r="K15" s="549"/>
      <c r="L15" s="550">
        <f t="shared" si="3"/>
        <v>-9529</v>
      </c>
      <c r="M15" s="551">
        <f t="shared" si="4"/>
        <v>-1</v>
      </c>
      <c r="N15" s="789"/>
      <c r="O15" s="549">
        <v>9529</v>
      </c>
      <c r="P15" s="548"/>
      <c r="Q15" s="550">
        <f t="shared" si="5"/>
        <v>-9529</v>
      </c>
      <c r="R15" s="551">
        <f t="shared" si="6"/>
        <v>-1</v>
      </c>
      <c r="S15" s="765"/>
      <c r="T15" s="549">
        <v>0</v>
      </c>
      <c r="U15" s="548"/>
      <c r="V15" s="550">
        <f t="shared" si="7"/>
        <v>0</v>
      </c>
      <c r="W15" s="551" t="str">
        <f t="shared" si="8"/>
        <v>-</v>
      </c>
      <c r="X15" s="644"/>
      <c r="Y15" s="554"/>
      <c r="Z15" s="554"/>
    </row>
    <row r="16" spans="1:31" x14ac:dyDescent="0.2">
      <c r="A16" s="265">
        <v>1250</v>
      </c>
      <c r="B16" s="35" t="s">
        <v>276</v>
      </c>
      <c r="C16" s="548"/>
      <c r="D16" s="548"/>
      <c r="E16" s="548"/>
      <c r="F16" s="548"/>
      <c r="G16" s="550">
        <f t="shared" si="1"/>
        <v>0</v>
      </c>
      <c r="H16" s="551" t="str">
        <f t="shared" si="2"/>
        <v>-</v>
      </c>
      <c r="I16" s="795"/>
      <c r="J16" s="548"/>
      <c r="K16" s="549"/>
      <c r="L16" s="550">
        <f t="shared" si="3"/>
        <v>0</v>
      </c>
      <c r="M16" s="551" t="str">
        <f t="shared" si="4"/>
        <v>-</v>
      </c>
      <c r="N16" s="789"/>
      <c r="O16" s="548"/>
      <c r="P16" s="548"/>
      <c r="Q16" s="550">
        <f t="shared" si="5"/>
        <v>0</v>
      </c>
      <c r="R16" s="551" t="str">
        <f t="shared" si="6"/>
        <v>-</v>
      </c>
      <c r="S16" s="765"/>
      <c r="T16" s="548"/>
      <c r="U16" s="548"/>
      <c r="V16" s="550">
        <f t="shared" si="7"/>
        <v>0</v>
      </c>
      <c r="W16" s="551" t="str">
        <f t="shared" si="8"/>
        <v>-</v>
      </c>
      <c r="X16" s="644"/>
      <c r="Y16" s="554"/>
      <c r="Z16" s="554"/>
    </row>
    <row r="17" spans="1:26" x14ac:dyDescent="0.2">
      <c r="A17" s="265">
        <v>1260</v>
      </c>
      <c r="B17" s="35" t="s">
        <v>277</v>
      </c>
      <c r="C17" s="548"/>
      <c r="D17" s="548"/>
      <c r="E17" s="548"/>
      <c r="F17" s="548"/>
      <c r="G17" s="550">
        <f t="shared" si="1"/>
        <v>0</v>
      </c>
      <c r="H17" s="551" t="str">
        <f t="shared" si="2"/>
        <v>-</v>
      </c>
      <c r="I17" s="795"/>
      <c r="J17" s="548"/>
      <c r="K17" s="549"/>
      <c r="L17" s="550">
        <f t="shared" si="3"/>
        <v>0</v>
      </c>
      <c r="M17" s="551" t="str">
        <f t="shared" si="4"/>
        <v>-</v>
      </c>
      <c r="N17" s="789"/>
      <c r="O17" s="548"/>
      <c r="P17" s="548"/>
      <c r="Q17" s="550">
        <f t="shared" si="5"/>
        <v>0</v>
      </c>
      <c r="R17" s="551" t="str">
        <f t="shared" si="6"/>
        <v>-</v>
      </c>
      <c r="S17" s="765"/>
      <c r="T17" s="548"/>
      <c r="U17" s="548"/>
      <c r="V17" s="550">
        <f t="shared" si="7"/>
        <v>0</v>
      </c>
      <c r="W17" s="551" t="str">
        <f t="shared" si="8"/>
        <v>-</v>
      </c>
      <c r="X17" s="644"/>
      <c r="Y17" s="554"/>
      <c r="Z17" s="647"/>
    </row>
    <row r="18" spans="1:26" ht="28.5" customHeight="1" x14ac:dyDescent="0.2">
      <c r="A18" s="265">
        <v>1270</v>
      </c>
      <c r="B18" s="35" t="s">
        <v>278</v>
      </c>
      <c r="C18" s="548"/>
      <c r="D18" s="548"/>
      <c r="E18" s="548"/>
      <c r="F18" s="548"/>
      <c r="G18" s="550">
        <f t="shared" si="1"/>
        <v>0</v>
      </c>
      <c r="H18" s="551" t="str">
        <f t="shared" si="2"/>
        <v>-</v>
      </c>
      <c r="I18" s="795"/>
      <c r="J18" s="548"/>
      <c r="K18" s="549"/>
      <c r="L18" s="550">
        <f t="shared" si="3"/>
        <v>0</v>
      </c>
      <c r="M18" s="551" t="str">
        <f t="shared" si="4"/>
        <v>-</v>
      </c>
      <c r="N18" s="789"/>
      <c r="O18" s="548"/>
      <c r="P18" s="548"/>
      <c r="Q18" s="550">
        <f t="shared" si="5"/>
        <v>0</v>
      </c>
      <c r="R18" s="551" t="str">
        <f t="shared" si="6"/>
        <v>-</v>
      </c>
      <c r="S18" s="765"/>
      <c r="T18" s="548"/>
      <c r="U18" s="548"/>
      <c r="V18" s="550">
        <f t="shared" si="7"/>
        <v>0</v>
      </c>
      <c r="W18" s="551" t="str">
        <f t="shared" si="8"/>
        <v>-</v>
      </c>
      <c r="X18" s="644"/>
      <c r="Y18" s="554"/>
      <c r="Z18" s="647"/>
    </row>
    <row r="19" spans="1:26" x14ac:dyDescent="0.2">
      <c r="A19" s="265">
        <v>1280</v>
      </c>
      <c r="B19" s="35" t="s">
        <v>279</v>
      </c>
      <c r="C19" s="548"/>
      <c r="D19" s="548"/>
      <c r="E19" s="548"/>
      <c r="F19" s="548"/>
      <c r="G19" s="550">
        <f t="shared" si="1"/>
        <v>0</v>
      </c>
      <c r="H19" s="551" t="str">
        <f t="shared" si="2"/>
        <v>-</v>
      </c>
      <c r="I19" s="795"/>
      <c r="J19" s="548"/>
      <c r="K19" s="549"/>
      <c r="L19" s="550">
        <f t="shared" si="3"/>
        <v>0</v>
      </c>
      <c r="M19" s="551" t="str">
        <f t="shared" si="4"/>
        <v>-</v>
      </c>
      <c r="N19" s="789"/>
      <c r="O19" s="548"/>
      <c r="P19" s="548"/>
      <c r="Q19" s="550">
        <f t="shared" si="5"/>
        <v>0</v>
      </c>
      <c r="R19" s="551" t="str">
        <f t="shared" si="6"/>
        <v>-</v>
      </c>
      <c r="S19" s="765"/>
      <c r="T19" s="548"/>
      <c r="U19" s="548"/>
      <c r="V19" s="550">
        <f t="shared" si="7"/>
        <v>0</v>
      </c>
      <c r="W19" s="551" t="str">
        <f t="shared" si="8"/>
        <v>-</v>
      </c>
      <c r="X19" s="644"/>
      <c r="Y19" s="554"/>
      <c r="Z19" s="647"/>
    </row>
    <row r="20" spans="1:26" ht="31.5" customHeight="1" x14ac:dyDescent="0.2">
      <c r="A20" s="265">
        <v>1290</v>
      </c>
      <c r="B20" s="35" t="s">
        <v>280</v>
      </c>
      <c r="C20" s="548"/>
      <c r="D20" s="548"/>
      <c r="E20" s="548"/>
      <c r="F20" s="548"/>
      <c r="G20" s="550">
        <f t="shared" si="1"/>
        <v>0</v>
      </c>
      <c r="H20" s="551" t="str">
        <f t="shared" si="2"/>
        <v>-</v>
      </c>
      <c r="I20" s="795"/>
      <c r="J20" s="548"/>
      <c r="K20" s="549"/>
      <c r="L20" s="550">
        <f t="shared" si="3"/>
        <v>0</v>
      </c>
      <c r="M20" s="551" t="str">
        <f t="shared" si="4"/>
        <v>-</v>
      </c>
      <c r="N20" s="789"/>
      <c r="O20" s="548"/>
      <c r="P20" s="548"/>
      <c r="Q20" s="550">
        <f t="shared" si="5"/>
        <v>0</v>
      </c>
      <c r="R20" s="551" t="str">
        <f t="shared" si="6"/>
        <v>-</v>
      </c>
      <c r="S20" s="765"/>
      <c r="T20" s="548"/>
      <c r="U20" s="548"/>
      <c r="V20" s="550">
        <f t="shared" si="7"/>
        <v>0</v>
      </c>
      <c r="W20" s="551" t="str">
        <f t="shared" si="8"/>
        <v>-</v>
      </c>
      <c r="X20" s="644"/>
      <c r="Y20" s="554"/>
      <c r="Z20" s="647"/>
    </row>
    <row r="21" spans="1:26" s="306" customFormat="1" ht="15.6" customHeight="1" x14ac:dyDescent="0.2">
      <c r="A21" s="160">
        <v>1300</v>
      </c>
      <c r="B21" s="44" t="s">
        <v>281</v>
      </c>
      <c r="C21" s="458">
        <v>0</v>
      </c>
      <c r="D21" s="458">
        <v>0</v>
      </c>
      <c r="E21" s="458">
        <v>0</v>
      </c>
      <c r="F21" s="458">
        <v>0</v>
      </c>
      <c r="G21" s="640">
        <v>0</v>
      </c>
      <c r="H21" s="648" t="str">
        <f t="shared" si="2"/>
        <v>-</v>
      </c>
      <c r="I21" s="796"/>
      <c r="J21" s="649">
        <v>0</v>
      </c>
      <c r="K21" s="458">
        <v>0</v>
      </c>
      <c r="L21" s="640">
        <v>0</v>
      </c>
      <c r="M21" s="641" t="str">
        <f t="shared" si="4"/>
        <v>-</v>
      </c>
      <c r="N21" s="650"/>
      <c r="O21" s="458">
        <v>0</v>
      </c>
      <c r="P21" s="458">
        <v>0</v>
      </c>
      <c r="Q21" s="640">
        <f>P21-O21</f>
        <v>0</v>
      </c>
      <c r="R21" s="641" t="str">
        <f t="shared" si="6"/>
        <v>-</v>
      </c>
      <c r="S21" s="650"/>
      <c r="T21" s="458">
        <v>0</v>
      </c>
      <c r="U21" s="458">
        <v>0</v>
      </c>
      <c r="V21" s="640">
        <f t="shared" si="7"/>
        <v>0</v>
      </c>
      <c r="W21" s="641" t="str">
        <f t="shared" si="8"/>
        <v>-</v>
      </c>
      <c r="X21" s="651"/>
      <c r="Y21" s="652"/>
      <c r="Z21" s="653"/>
    </row>
    <row r="22" spans="1:26" s="307" customFormat="1" ht="15.95" customHeight="1" x14ac:dyDescent="0.2">
      <c r="A22" s="99">
        <v>1400</v>
      </c>
      <c r="B22" s="44" t="s">
        <v>282</v>
      </c>
      <c r="C22" s="654">
        <v>0</v>
      </c>
      <c r="D22" s="654">
        <v>0</v>
      </c>
      <c r="E22" s="654">
        <v>0</v>
      </c>
      <c r="F22" s="654">
        <v>0</v>
      </c>
      <c r="G22" s="642">
        <f t="shared" ref="G22:G47" si="17">F22-E22</f>
        <v>0</v>
      </c>
      <c r="H22" s="648" t="str">
        <f t="shared" si="2"/>
        <v>-</v>
      </c>
      <c r="I22" s="796"/>
      <c r="J22" s="655">
        <v>0</v>
      </c>
      <c r="K22" s="654">
        <v>0</v>
      </c>
      <c r="L22" s="640">
        <v>0</v>
      </c>
      <c r="M22" s="641" t="str">
        <f t="shared" si="4"/>
        <v>-</v>
      </c>
      <c r="N22" s="650"/>
      <c r="O22" s="654">
        <v>0</v>
      </c>
      <c r="P22" s="654">
        <v>0</v>
      </c>
      <c r="Q22" s="640">
        <f t="shared" ref="Q22:Q43" si="18">P22-O22</f>
        <v>0</v>
      </c>
      <c r="R22" s="641" t="str">
        <f t="shared" si="6"/>
        <v>-</v>
      </c>
      <c r="S22" s="651"/>
      <c r="T22" s="654">
        <v>0</v>
      </c>
      <c r="U22" s="654">
        <v>0</v>
      </c>
      <c r="V22" s="640">
        <f t="shared" si="7"/>
        <v>0</v>
      </c>
      <c r="W22" s="641" t="str">
        <f t="shared" si="8"/>
        <v>-</v>
      </c>
      <c r="X22" s="651"/>
      <c r="Y22" s="656"/>
      <c r="Z22" s="657"/>
    </row>
    <row r="23" spans="1:26" s="307" customFormat="1" ht="15.95" customHeight="1" x14ac:dyDescent="0.2">
      <c r="A23" s="99">
        <v>1500</v>
      </c>
      <c r="B23" s="44" t="s">
        <v>283</v>
      </c>
      <c r="C23" s="654">
        <v>0</v>
      </c>
      <c r="D23" s="654">
        <v>0</v>
      </c>
      <c r="E23" s="654">
        <v>0</v>
      </c>
      <c r="F23" s="654">
        <v>0</v>
      </c>
      <c r="G23" s="642">
        <f t="shared" si="17"/>
        <v>0</v>
      </c>
      <c r="H23" s="641" t="str">
        <f t="shared" si="2"/>
        <v>-</v>
      </c>
      <c r="I23" s="796"/>
      <c r="J23" s="654">
        <v>0</v>
      </c>
      <c r="K23" s="654">
        <v>0</v>
      </c>
      <c r="L23" s="640">
        <v>0</v>
      </c>
      <c r="M23" s="641" t="str">
        <f t="shared" si="4"/>
        <v>-</v>
      </c>
      <c r="N23" s="658"/>
      <c r="O23" s="654">
        <v>0</v>
      </c>
      <c r="P23" s="654">
        <v>0</v>
      </c>
      <c r="Q23" s="640">
        <f t="shared" si="18"/>
        <v>0</v>
      </c>
      <c r="R23" s="641" t="str">
        <f t="shared" si="6"/>
        <v>-</v>
      </c>
      <c r="S23" s="651"/>
      <c r="T23" s="654">
        <v>0</v>
      </c>
      <c r="U23" s="654">
        <v>0</v>
      </c>
      <c r="V23" s="640">
        <f t="shared" si="7"/>
        <v>0</v>
      </c>
      <c r="W23" s="641" t="str">
        <f t="shared" si="8"/>
        <v>-</v>
      </c>
      <c r="X23" s="651"/>
      <c r="Y23" s="656"/>
      <c r="Z23" s="657"/>
    </row>
    <row r="24" spans="1:26" s="307" customFormat="1" ht="31.5" customHeight="1" x14ac:dyDescent="0.2">
      <c r="A24" s="99">
        <v>1600</v>
      </c>
      <c r="B24" s="44" t="s">
        <v>284</v>
      </c>
      <c r="C24" s="654">
        <v>0</v>
      </c>
      <c r="D24" s="654">
        <v>0</v>
      </c>
      <c r="E24" s="654">
        <v>0</v>
      </c>
      <c r="F24" s="654">
        <v>0</v>
      </c>
      <c r="G24" s="642">
        <f t="shared" si="17"/>
        <v>0</v>
      </c>
      <c r="H24" s="641" t="str">
        <f t="shared" si="2"/>
        <v>-</v>
      </c>
      <c r="I24" s="796"/>
      <c r="J24" s="654">
        <v>0</v>
      </c>
      <c r="K24" s="654">
        <v>0</v>
      </c>
      <c r="L24" s="640">
        <v>0</v>
      </c>
      <c r="M24" s="641" t="str">
        <f t="shared" si="4"/>
        <v>-</v>
      </c>
      <c r="N24" s="658"/>
      <c r="O24" s="654">
        <v>0</v>
      </c>
      <c r="P24" s="654">
        <v>0</v>
      </c>
      <c r="Q24" s="640">
        <f t="shared" si="18"/>
        <v>0</v>
      </c>
      <c r="R24" s="641" t="str">
        <f t="shared" si="6"/>
        <v>-</v>
      </c>
      <c r="S24" s="651"/>
      <c r="T24" s="654">
        <v>0</v>
      </c>
      <c r="U24" s="654">
        <v>0</v>
      </c>
      <c r="V24" s="640">
        <f t="shared" si="7"/>
        <v>0</v>
      </c>
      <c r="W24" s="641" t="str">
        <f t="shared" si="8"/>
        <v>-</v>
      </c>
      <c r="X24" s="651"/>
      <c r="Y24" s="656"/>
      <c r="Z24" s="656"/>
    </row>
    <row r="25" spans="1:26" s="32" customFormat="1" x14ac:dyDescent="0.2">
      <c r="A25" s="308">
        <v>2000</v>
      </c>
      <c r="B25" s="623" t="s">
        <v>285</v>
      </c>
      <c r="C25" s="625">
        <f>C26+C36+C44+C45+C46</f>
        <v>4271806</v>
      </c>
      <c r="D25" s="625">
        <f>D26+D36+D44+D46</f>
        <v>3055172</v>
      </c>
      <c r="E25" s="625">
        <f>E26+E36+E44+E46</f>
        <v>3746497</v>
      </c>
      <c r="F25" s="625">
        <f>F26+F36+F44+F45+F46</f>
        <v>0</v>
      </c>
      <c r="G25" s="632">
        <f t="shared" si="17"/>
        <v>-3746497</v>
      </c>
      <c r="H25" s="633">
        <f t="shared" si="2"/>
        <v>-1</v>
      </c>
      <c r="I25" s="797"/>
      <c r="J25" s="625">
        <f>J26+J36+J44+J46</f>
        <v>3058672</v>
      </c>
      <c r="K25" s="625">
        <f>K26+K36+K44+K46</f>
        <v>0</v>
      </c>
      <c r="L25" s="632">
        <f t="shared" ref="L25:L47" si="19">K25-J25</f>
        <v>-3058672</v>
      </c>
      <c r="M25" s="633">
        <f t="shared" si="4"/>
        <v>-1</v>
      </c>
      <c r="N25" s="635"/>
      <c r="O25" s="625">
        <f>O26+O36+O44+O46</f>
        <v>3053567</v>
      </c>
      <c r="P25" s="625">
        <f>P26+P36+P44+P46</f>
        <v>0</v>
      </c>
      <c r="Q25" s="632">
        <f t="shared" si="18"/>
        <v>-3053567</v>
      </c>
      <c r="R25" s="633">
        <f t="shared" si="6"/>
        <v>-1</v>
      </c>
      <c r="S25" s="634"/>
      <c r="T25" s="625">
        <f>T26+T36+T44+T46</f>
        <v>3055172</v>
      </c>
      <c r="U25" s="636">
        <f>U26+U36+U44+U46</f>
        <v>0</v>
      </c>
      <c r="V25" s="637">
        <f t="shared" si="7"/>
        <v>-3055172</v>
      </c>
      <c r="W25" s="638">
        <f t="shared" si="8"/>
        <v>-1</v>
      </c>
      <c r="X25" s="639"/>
      <c r="Y25" s="630"/>
      <c r="Z25" s="630"/>
    </row>
    <row r="26" spans="1:26" s="32" customFormat="1" x14ac:dyDescent="0.2">
      <c r="A26" s="160">
        <v>2100</v>
      </c>
      <c r="B26" s="44" t="s">
        <v>286</v>
      </c>
      <c r="C26" s="458">
        <f>SUM(C27:C35)</f>
        <v>642346</v>
      </c>
      <c r="D26" s="458">
        <f t="shared" ref="D26:E26" si="20">SUM(D27:D35)</f>
        <v>531300</v>
      </c>
      <c r="E26" s="458">
        <f t="shared" si="20"/>
        <v>662000</v>
      </c>
      <c r="F26" s="458">
        <f t="shared" ref="F26" si="21">SUM(F27:F34)</f>
        <v>0</v>
      </c>
      <c r="G26" s="640">
        <f t="shared" si="17"/>
        <v>-662000</v>
      </c>
      <c r="H26" s="641">
        <f t="shared" si="2"/>
        <v>-1</v>
      </c>
      <c r="I26" s="798"/>
      <c r="J26" s="458">
        <f>SUM(J27:J35)</f>
        <v>683800</v>
      </c>
      <c r="K26" s="458">
        <f>SUM(K27:K35)</f>
        <v>0</v>
      </c>
      <c r="L26" s="640">
        <f t="shared" si="19"/>
        <v>-683800</v>
      </c>
      <c r="M26" s="641">
        <f t="shared" si="4"/>
        <v>-1</v>
      </c>
      <c r="N26" s="761"/>
      <c r="O26" s="458">
        <f>SUM(O27:O35)</f>
        <v>509695</v>
      </c>
      <c r="P26" s="458">
        <f>SUM(P27:P35)</f>
        <v>0</v>
      </c>
      <c r="Q26" s="640">
        <f t="shared" si="18"/>
        <v>-509695</v>
      </c>
      <c r="R26" s="641">
        <f t="shared" si="6"/>
        <v>-1</v>
      </c>
      <c r="S26" s="761"/>
      <c r="T26" s="458">
        <f>SUM(T27:T35)</f>
        <v>531300</v>
      </c>
      <c r="U26" s="458">
        <f>SUM(U27:U35)</f>
        <v>0</v>
      </c>
      <c r="V26" s="640">
        <f t="shared" si="7"/>
        <v>-531300</v>
      </c>
      <c r="W26" s="641">
        <f t="shared" si="8"/>
        <v>-1</v>
      </c>
      <c r="X26" s="766"/>
      <c r="Y26" s="630"/>
      <c r="Z26" s="630"/>
    </row>
    <row r="27" spans="1:26" x14ac:dyDescent="0.2">
      <c r="A27" s="265">
        <v>2110</v>
      </c>
      <c r="B27" s="35" t="s">
        <v>287</v>
      </c>
      <c r="C27" s="548">
        <v>641144</v>
      </c>
      <c r="D27" s="548">
        <v>530000</v>
      </c>
      <c r="E27" s="548">
        <v>660000</v>
      </c>
      <c r="F27" s="549"/>
      <c r="G27" s="550">
        <f t="shared" si="17"/>
        <v>-660000</v>
      </c>
      <c r="H27" s="551">
        <f t="shared" si="2"/>
        <v>-1</v>
      </c>
      <c r="I27" s="799"/>
      <c r="J27" s="548">
        <v>682000</v>
      </c>
      <c r="K27" s="549"/>
      <c r="L27" s="550">
        <f t="shared" si="19"/>
        <v>-682000</v>
      </c>
      <c r="M27" s="551">
        <f t="shared" si="4"/>
        <v>-1</v>
      </c>
      <c r="N27" s="789"/>
      <c r="O27" s="548">
        <f>700000-100000-91805</f>
        <v>508195</v>
      </c>
      <c r="P27" s="548"/>
      <c r="Q27" s="550">
        <f t="shared" si="18"/>
        <v>-508195</v>
      </c>
      <c r="R27" s="551">
        <f t="shared" si="6"/>
        <v>-1</v>
      </c>
      <c r="S27" s="789"/>
      <c r="T27" s="548">
        <v>530000</v>
      </c>
      <c r="U27" s="548"/>
      <c r="V27" s="550">
        <f t="shared" si="7"/>
        <v>-530000</v>
      </c>
      <c r="W27" s="551">
        <f t="shared" si="8"/>
        <v>-1</v>
      </c>
      <c r="X27" s="767"/>
      <c r="Y27" s="554"/>
      <c r="Z27" s="554"/>
    </row>
    <row r="28" spans="1:26" x14ac:dyDescent="0.2">
      <c r="A28" s="265">
        <v>2120</v>
      </c>
      <c r="B28" s="35" t="s">
        <v>288</v>
      </c>
      <c r="C28" s="548"/>
      <c r="D28" s="548"/>
      <c r="E28" s="548"/>
      <c r="F28" s="548"/>
      <c r="G28" s="550">
        <f t="shared" si="17"/>
        <v>0</v>
      </c>
      <c r="H28" s="551" t="str">
        <f t="shared" si="2"/>
        <v>-</v>
      </c>
      <c r="I28" s="799"/>
      <c r="J28" s="548"/>
      <c r="K28" s="549"/>
      <c r="L28" s="550">
        <f t="shared" si="19"/>
        <v>0</v>
      </c>
      <c r="M28" s="551" t="str">
        <f t="shared" si="4"/>
        <v>-</v>
      </c>
      <c r="N28" s="789"/>
      <c r="O28" s="548"/>
      <c r="P28" s="548"/>
      <c r="Q28" s="550">
        <f t="shared" si="18"/>
        <v>0</v>
      </c>
      <c r="R28" s="551" t="str">
        <f t="shared" si="6"/>
        <v>-</v>
      </c>
      <c r="S28" s="789"/>
      <c r="T28" s="548"/>
      <c r="U28" s="548"/>
      <c r="V28" s="550">
        <f t="shared" si="7"/>
        <v>0</v>
      </c>
      <c r="W28" s="551" t="str">
        <f t="shared" si="8"/>
        <v>-</v>
      </c>
      <c r="X28" s="767"/>
      <c r="Y28" s="554"/>
      <c r="Z28" s="554"/>
    </row>
    <row r="29" spans="1:26" x14ac:dyDescent="0.2">
      <c r="A29" s="265">
        <v>2130</v>
      </c>
      <c r="B29" s="35" t="s">
        <v>289</v>
      </c>
      <c r="C29" s="548"/>
      <c r="D29" s="548"/>
      <c r="E29" s="548"/>
      <c r="F29" s="548"/>
      <c r="G29" s="550">
        <f t="shared" si="17"/>
        <v>0</v>
      </c>
      <c r="H29" s="551" t="str">
        <f t="shared" si="2"/>
        <v>-</v>
      </c>
      <c r="I29" s="799"/>
      <c r="J29" s="548"/>
      <c r="K29" s="549"/>
      <c r="L29" s="550">
        <f t="shared" si="19"/>
        <v>0</v>
      </c>
      <c r="M29" s="551" t="str">
        <f t="shared" si="4"/>
        <v>-</v>
      </c>
      <c r="N29" s="789"/>
      <c r="O29" s="548"/>
      <c r="P29" s="548"/>
      <c r="Q29" s="550">
        <f t="shared" si="18"/>
        <v>0</v>
      </c>
      <c r="R29" s="551" t="str">
        <f t="shared" si="6"/>
        <v>-</v>
      </c>
      <c r="S29" s="789"/>
      <c r="T29" s="548"/>
      <c r="U29" s="548"/>
      <c r="V29" s="550">
        <f t="shared" si="7"/>
        <v>0</v>
      </c>
      <c r="W29" s="551" t="str">
        <f t="shared" si="8"/>
        <v>-</v>
      </c>
      <c r="X29" s="767"/>
      <c r="Y29" s="554"/>
      <c r="Z29" s="554"/>
    </row>
    <row r="30" spans="1:26" ht="15.6" customHeight="1" x14ac:dyDescent="0.2">
      <c r="A30" s="265">
        <v>2140</v>
      </c>
      <c r="B30" s="305" t="s">
        <v>290</v>
      </c>
      <c r="C30" s="548"/>
      <c r="D30" s="548"/>
      <c r="E30" s="548"/>
      <c r="F30" s="548"/>
      <c r="G30" s="550">
        <f t="shared" si="17"/>
        <v>0</v>
      </c>
      <c r="H30" s="551" t="str">
        <f t="shared" si="2"/>
        <v>-</v>
      </c>
      <c r="I30" s="799"/>
      <c r="J30" s="548"/>
      <c r="K30" s="549"/>
      <c r="L30" s="550">
        <f t="shared" si="19"/>
        <v>0</v>
      </c>
      <c r="M30" s="551" t="str">
        <f t="shared" si="4"/>
        <v>-</v>
      </c>
      <c r="N30" s="789"/>
      <c r="O30" s="548"/>
      <c r="P30" s="548"/>
      <c r="Q30" s="550">
        <f t="shared" si="18"/>
        <v>0</v>
      </c>
      <c r="R30" s="551" t="str">
        <f t="shared" si="6"/>
        <v>-</v>
      </c>
      <c r="S30" s="789"/>
      <c r="T30" s="548"/>
      <c r="U30" s="548"/>
      <c r="V30" s="550">
        <f t="shared" si="7"/>
        <v>0</v>
      </c>
      <c r="W30" s="551" t="str">
        <f t="shared" si="8"/>
        <v>-</v>
      </c>
      <c r="X30" s="767"/>
      <c r="Y30" s="554"/>
      <c r="Z30" s="554"/>
    </row>
    <row r="31" spans="1:26" ht="15.6" customHeight="1" x14ac:dyDescent="0.2">
      <c r="A31" s="265">
        <v>2150</v>
      </c>
      <c r="B31" s="305" t="s">
        <v>291</v>
      </c>
      <c r="C31" s="548"/>
      <c r="D31" s="548"/>
      <c r="E31" s="548"/>
      <c r="F31" s="548"/>
      <c r="G31" s="550">
        <f t="shared" si="17"/>
        <v>0</v>
      </c>
      <c r="H31" s="551" t="str">
        <f t="shared" si="2"/>
        <v>-</v>
      </c>
      <c r="I31" s="799"/>
      <c r="J31" s="548"/>
      <c r="K31" s="549"/>
      <c r="L31" s="550">
        <f t="shared" si="19"/>
        <v>0</v>
      </c>
      <c r="M31" s="551" t="str">
        <f t="shared" si="4"/>
        <v>-</v>
      </c>
      <c r="N31" s="789"/>
      <c r="O31" s="548"/>
      <c r="P31" s="548"/>
      <c r="Q31" s="550">
        <f t="shared" si="18"/>
        <v>0</v>
      </c>
      <c r="R31" s="551" t="str">
        <f t="shared" si="6"/>
        <v>-</v>
      </c>
      <c r="S31" s="789"/>
      <c r="T31" s="548"/>
      <c r="U31" s="548"/>
      <c r="V31" s="550">
        <f t="shared" si="7"/>
        <v>0</v>
      </c>
      <c r="W31" s="551" t="str">
        <f t="shared" si="8"/>
        <v>-</v>
      </c>
      <c r="X31" s="767"/>
      <c r="Y31" s="554"/>
      <c r="Z31" s="554"/>
    </row>
    <row r="32" spans="1:26" ht="15.6" customHeight="1" x14ac:dyDescent="0.2">
      <c r="A32" s="265">
        <v>2160</v>
      </c>
      <c r="B32" s="305" t="s">
        <v>148</v>
      </c>
      <c r="C32" s="548"/>
      <c r="D32" s="548"/>
      <c r="E32" s="548"/>
      <c r="F32" s="548"/>
      <c r="G32" s="550">
        <f t="shared" si="17"/>
        <v>0</v>
      </c>
      <c r="H32" s="551" t="str">
        <f t="shared" si="2"/>
        <v>-</v>
      </c>
      <c r="I32" s="799"/>
      <c r="J32" s="548"/>
      <c r="K32" s="549"/>
      <c r="L32" s="550">
        <f t="shared" si="19"/>
        <v>0</v>
      </c>
      <c r="M32" s="551" t="str">
        <f t="shared" si="4"/>
        <v>-</v>
      </c>
      <c r="N32" s="789"/>
      <c r="O32" s="548"/>
      <c r="P32" s="548"/>
      <c r="Q32" s="550">
        <f t="shared" si="18"/>
        <v>0</v>
      </c>
      <c r="R32" s="551" t="str">
        <f t="shared" si="6"/>
        <v>-</v>
      </c>
      <c r="S32" s="789"/>
      <c r="T32" s="548"/>
      <c r="U32" s="548"/>
      <c r="V32" s="550">
        <f t="shared" si="7"/>
        <v>0</v>
      </c>
      <c r="W32" s="551" t="str">
        <f t="shared" si="8"/>
        <v>-</v>
      </c>
      <c r="X32" s="767"/>
      <c r="Y32" s="554"/>
      <c r="Z32" s="554"/>
    </row>
    <row r="33" spans="1:26" ht="30.95" customHeight="1" x14ac:dyDescent="0.2">
      <c r="A33" s="265">
        <v>2170</v>
      </c>
      <c r="B33" s="305" t="s">
        <v>292</v>
      </c>
      <c r="C33" s="548"/>
      <c r="D33" s="548"/>
      <c r="E33" s="548"/>
      <c r="F33" s="548"/>
      <c r="G33" s="550">
        <f t="shared" si="17"/>
        <v>0</v>
      </c>
      <c r="H33" s="551" t="str">
        <f t="shared" si="2"/>
        <v>-</v>
      </c>
      <c r="I33" s="799"/>
      <c r="J33" s="548"/>
      <c r="K33" s="549"/>
      <c r="L33" s="550">
        <f t="shared" si="19"/>
        <v>0</v>
      </c>
      <c r="M33" s="551" t="str">
        <f t="shared" si="4"/>
        <v>-</v>
      </c>
      <c r="N33" s="789"/>
      <c r="O33" s="548"/>
      <c r="P33" s="548"/>
      <c r="Q33" s="550">
        <f t="shared" si="18"/>
        <v>0</v>
      </c>
      <c r="R33" s="551" t="str">
        <f t="shared" si="6"/>
        <v>-</v>
      </c>
      <c r="S33" s="789"/>
      <c r="T33" s="548"/>
      <c r="U33" s="548"/>
      <c r="V33" s="550">
        <f t="shared" si="7"/>
        <v>0</v>
      </c>
      <c r="W33" s="551" t="str">
        <f t="shared" si="8"/>
        <v>-</v>
      </c>
      <c r="X33" s="767"/>
      <c r="Y33" s="554"/>
      <c r="Z33" s="554"/>
    </row>
    <row r="34" spans="1:26" ht="31.5" x14ac:dyDescent="0.2">
      <c r="A34" s="265">
        <v>2180</v>
      </c>
      <c r="B34" s="35" t="s">
        <v>293</v>
      </c>
      <c r="C34" s="548">
        <v>1202</v>
      </c>
      <c r="D34" s="548">
        <v>1300</v>
      </c>
      <c r="E34" s="548">
        <v>2000</v>
      </c>
      <c r="F34" s="548"/>
      <c r="G34" s="550">
        <f t="shared" si="17"/>
        <v>-2000</v>
      </c>
      <c r="H34" s="551">
        <f t="shared" si="2"/>
        <v>-1</v>
      </c>
      <c r="I34" s="799"/>
      <c r="J34" s="548">
        <v>1800</v>
      </c>
      <c r="K34" s="549"/>
      <c r="L34" s="550">
        <f t="shared" si="19"/>
        <v>-1800</v>
      </c>
      <c r="M34" s="551">
        <f t="shared" si="4"/>
        <v>-1</v>
      </c>
      <c r="N34" s="789"/>
      <c r="O34" s="548">
        <v>1500</v>
      </c>
      <c r="P34" s="548"/>
      <c r="Q34" s="550">
        <f t="shared" si="18"/>
        <v>-1500</v>
      </c>
      <c r="R34" s="551">
        <f t="shared" si="6"/>
        <v>-1</v>
      </c>
      <c r="S34" s="789"/>
      <c r="T34" s="548">
        <v>1300</v>
      </c>
      <c r="U34" s="548"/>
      <c r="V34" s="550">
        <f t="shared" si="7"/>
        <v>-1300</v>
      </c>
      <c r="W34" s="551">
        <f t="shared" si="8"/>
        <v>-1</v>
      </c>
      <c r="X34" s="767"/>
      <c r="Y34" s="554"/>
      <c r="Z34" s="554"/>
    </row>
    <row r="35" spans="1:26" x14ac:dyDescent="0.2">
      <c r="A35" s="265">
        <v>2190</v>
      </c>
      <c r="B35" s="35" t="s">
        <v>294</v>
      </c>
      <c r="C35" s="548"/>
      <c r="D35" s="548"/>
      <c r="E35" s="548"/>
      <c r="F35" s="548"/>
      <c r="G35" s="550">
        <f t="shared" si="17"/>
        <v>0</v>
      </c>
      <c r="H35" s="551" t="str">
        <f t="shared" si="2"/>
        <v>-</v>
      </c>
      <c r="I35" s="800"/>
      <c r="J35" s="548"/>
      <c r="K35" s="549"/>
      <c r="L35" s="550">
        <f t="shared" si="19"/>
        <v>0</v>
      </c>
      <c r="M35" s="551" t="str">
        <f t="shared" si="4"/>
        <v>-</v>
      </c>
      <c r="N35" s="790"/>
      <c r="O35" s="548"/>
      <c r="P35" s="548"/>
      <c r="Q35" s="550">
        <f t="shared" si="18"/>
        <v>0</v>
      </c>
      <c r="R35" s="551" t="str">
        <f t="shared" si="6"/>
        <v>-</v>
      </c>
      <c r="S35" s="790"/>
      <c r="T35" s="548"/>
      <c r="U35" s="548"/>
      <c r="V35" s="550">
        <f t="shared" si="7"/>
        <v>0</v>
      </c>
      <c r="W35" s="551" t="str">
        <f t="shared" si="8"/>
        <v>-</v>
      </c>
      <c r="X35" s="768"/>
      <c r="Y35" s="554"/>
      <c r="Z35" s="554"/>
    </row>
    <row r="36" spans="1:26" s="307" customFormat="1" x14ac:dyDescent="0.2">
      <c r="A36" s="160">
        <v>2300</v>
      </c>
      <c r="B36" s="44" t="s">
        <v>295</v>
      </c>
      <c r="C36" s="654">
        <f>SUM(C37:C43)</f>
        <v>2389377</v>
      </c>
      <c r="D36" s="654">
        <f t="shared" ref="D36:E36" si="22">SUM(D37:D43)</f>
        <v>1400872</v>
      </c>
      <c r="E36" s="654">
        <f t="shared" si="22"/>
        <v>1200872</v>
      </c>
      <c r="F36" s="654">
        <f>SUM(F37:F43)</f>
        <v>0</v>
      </c>
      <c r="G36" s="642">
        <f t="shared" si="17"/>
        <v>-1200872</v>
      </c>
      <c r="H36" s="660">
        <f t="shared" si="2"/>
        <v>-1</v>
      </c>
      <c r="I36" s="651"/>
      <c r="J36" s="654">
        <f>SUM(J37:J43)</f>
        <v>1200872</v>
      </c>
      <c r="K36" s="654">
        <f>SUM(K37:K43)</f>
        <v>0</v>
      </c>
      <c r="L36" s="642">
        <f t="shared" si="19"/>
        <v>-1200872</v>
      </c>
      <c r="M36" s="660">
        <f t="shared" si="4"/>
        <v>-1</v>
      </c>
      <c r="N36" s="650"/>
      <c r="O36" s="654">
        <f>SUM(O37:O43)</f>
        <v>1400872</v>
      </c>
      <c r="P36" s="654">
        <f>SUM(P37:P43)</f>
        <v>0</v>
      </c>
      <c r="Q36" s="642">
        <f t="shared" si="18"/>
        <v>-1400872</v>
      </c>
      <c r="R36" s="660">
        <f t="shared" si="6"/>
        <v>-1</v>
      </c>
      <c r="S36" s="651"/>
      <c r="T36" s="654">
        <f>SUM(T37:T43)</f>
        <v>1400872</v>
      </c>
      <c r="U36" s="654">
        <f>SUM(U37:U43)</f>
        <v>0</v>
      </c>
      <c r="V36" s="642">
        <f t="shared" si="7"/>
        <v>-1400872</v>
      </c>
      <c r="W36" s="660">
        <f t="shared" si="8"/>
        <v>-1</v>
      </c>
      <c r="X36" s="651"/>
      <c r="Y36" s="656"/>
      <c r="Z36" s="656"/>
    </row>
    <row r="37" spans="1:26" x14ac:dyDescent="0.2">
      <c r="A37" s="265">
        <v>2310</v>
      </c>
      <c r="B37" s="547" t="s">
        <v>296</v>
      </c>
      <c r="C37" s="548">
        <v>2388437</v>
      </c>
      <c r="D37" s="548">
        <v>1400000</v>
      </c>
      <c r="E37" s="548">
        <f>2000000-800000</f>
        <v>1200000</v>
      </c>
      <c r="F37" s="549"/>
      <c r="G37" s="550">
        <f t="shared" si="17"/>
        <v>-1200000</v>
      </c>
      <c r="H37" s="551">
        <f t="shared" si="2"/>
        <v>-1</v>
      </c>
      <c r="I37" s="791"/>
      <c r="J37" s="548">
        <v>1200000</v>
      </c>
      <c r="K37" s="549"/>
      <c r="L37" s="550">
        <f t="shared" si="19"/>
        <v>-1200000</v>
      </c>
      <c r="M37" s="551">
        <f t="shared" si="4"/>
        <v>-1</v>
      </c>
      <c r="N37" s="661"/>
      <c r="O37" s="548">
        <v>1400000</v>
      </c>
      <c r="P37" s="548"/>
      <c r="Q37" s="550">
        <f t="shared" si="18"/>
        <v>-1400000</v>
      </c>
      <c r="R37" s="551">
        <f t="shared" si="6"/>
        <v>-1</v>
      </c>
      <c r="S37" s="662"/>
      <c r="T37" s="548">
        <v>1400000</v>
      </c>
      <c r="U37" s="548"/>
      <c r="V37" s="550">
        <f t="shared" si="7"/>
        <v>-1400000</v>
      </c>
      <c r="W37" s="551">
        <f t="shared" si="8"/>
        <v>-1</v>
      </c>
      <c r="X37" s="663"/>
      <c r="Y37" s="554"/>
      <c r="Z37" s="554"/>
    </row>
    <row r="38" spans="1:26" ht="47.25" customHeight="1" x14ac:dyDescent="0.2">
      <c r="A38" s="265">
        <v>2320</v>
      </c>
      <c r="B38" s="35" t="s">
        <v>297</v>
      </c>
      <c r="C38" s="548"/>
      <c r="D38" s="548"/>
      <c r="E38" s="548"/>
      <c r="F38" s="548"/>
      <c r="G38" s="550">
        <f t="shared" si="17"/>
        <v>0</v>
      </c>
      <c r="H38" s="551" t="str">
        <f t="shared" si="2"/>
        <v>-</v>
      </c>
      <c r="I38" s="792"/>
      <c r="J38" s="548"/>
      <c r="K38" s="549"/>
      <c r="L38" s="550">
        <f t="shared" si="19"/>
        <v>0</v>
      </c>
      <c r="M38" s="551" t="str">
        <f t="shared" si="4"/>
        <v>-</v>
      </c>
      <c r="N38" s="664"/>
      <c r="O38" s="548"/>
      <c r="P38" s="548"/>
      <c r="Q38" s="550">
        <f t="shared" si="18"/>
        <v>0</v>
      </c>
      <c r="R38" s="551" t="str">
        <f t="shared" si="6"/>
        <v>-</v>
      </c>
      <c r="S38" s="665"/>
      <c r="T38" s="548"/>
      <c r="U38" s="548"/>
      <c r="V38" s="550">
        <f t="shared" si="7"/>
        <v>0</v>
      </c>
      <c r="W38" s="551" t="str">
        <f t="shared" si="8"/>
        <v>-</v>
      </c>
      <c r="X38" s="665"/>
      <c r="Y38" s="554"/>
      <c r="Z38" s="554"/>
    </row>
    <row r="39" spans="1:26" ht="31.5" customHeight="1" x14ac:dyDescent="0.2">
      <c r="A39" s="265">
        <v>2340</v>
      </c>
      <c r="B39" s="35" t="s">
        <v>298</v>
      </c>
      <c r="C39" s="548"/>
      <c r="D39" s="548"/>
      <c r="E39" s="548"/>
      <c r="F39" s="548"/>
      <c r="G39" s="550">
        <f t="shared" si="17"/>
        <v>0</v>
      </c>
      <c r="H39" s="551" t="str">
        <f t="shared" si="2"/>
        <v>-</v>
      </c>
      <c r="I39" s="792"/>
      <c r="J39" s="548"/>
      <c r="K39" s="549"/>
      <c r="L39" s="550">
        <f t="shared" si="19"/>
        <v>0</v>
      </c>
      <c r="M39" s="551" t="str">
        <f t="shared" si="4"/>
        <v>-</v>
      </c>
      <c r="N39" s="664"/>
      <c r="O39" s="548"/>
      <c r="P39" s="548"/>
      <c r="Q39" s="550">
        <f t="shared" si="18"/>
        <v>0</v>
      </c>
      <c r="R39" s="551" t="str">
        <f t="shared" si="6"/>
        <v>-</v>
      </c>
      <c r="S39" s="665"/>
      <c r="T39" s="548"/>
      <c r="U39" s="548"/>
      <c r="V39" s="550">
        <f t="shared" si="7"/>
        <v>0</v>
      </c>
      <c r="W39" s="551" t="str">
        <f t="shared" si="8"/>
        <v>-</v>
      </c>
      <c r="X39" s="665"/>
      <c r="Y39" s="554"/>
      <c r="Z39" s="554"/>
    </row>
    <row r="40" spans="1:26" x14ac:dyDescent="0.2">
      <c r="A40" s="265">
        <v>2360</v>
      </c>
      <c r="B40" s="35" t="s">
        <v>299</v>
      </c>
      <c r="C40" s="548"/>
      <c r="D40" s="548"/>
      <c r="E40" s="548"/>
      <c r="F40" s="548"/>
      <c r="G40" s="550">
        <f t="shared" si="17"/>
        <v>0</v>
      </c>
      <c r="H40" s="551" t="str">
        <f t="shared" si="2"/>
        <v>-</v>
      </c>
      <c r="I40" s="792"/>
      <c r="J40" s="548"/>
      <c r="K40" s="549"/>
      <c r="L40" s="550">
        <f t="shared" si="19"/>
        <v>0</v>
      </c>
      <c r="M40" s="551" t="str">
        <f t="shared" si="4"/>
        <v>-</v>
      </c>
      <c r="N40" s="664"/>
      <c r="O40" s="548"/>
      <c r="P40" s="548"/>
      <c r="Q40" s="550">
        <f t="shared" si="18"/>
        <v>0</v>
      </c>
      <c r="R40" s="551" t="str">
        <f t="shared" si="6"/>
        <v>-</v>
      </c>
      <c r="S40" s="665"/>
      <c r="T40" s="548"/>
      <c r="U40" s="548"/>
      <c r="V40" s="550">
        <f t="shared" si="7"/>
        <v>0</v>
      </c>
      <c r="W40" s="551" t="str">
        <f t="shared" si="8"/>
        <v>-</v>
      </c>
      <c r="X40" s="665"/>
      <c r="Y40" s="554"/>
      <c r="Z40" s="554"/>
    </row>
    <row r="41" spans="1:26" ht="31.5" customHeight="1" x14ac:dyDescent="0.2">
      <c r="A41" s="265">
        <v>2370</v>
      </c>
      <c r="B41" s="35" t="s">
        <v>300</v>
      </c>
      <c r="C41" s="548"/>
      <c r="D41" s="548"/>
      <c r="E41" s="548"/>
      <c r="F41" s="548"/>
      <c r="G41" s="550">
        <f t="shared" si="17"/>
        <v>0</v>
      </c>
      <c r="H41" s="551" t="str">
        <f t="shared" si="2"/>
        <v>-</v>
      </c>
      <c r="I41" s="792"/>
      <c r="J41" s="548"/>
      <c r="K41" s="549"/>
      <c r="L41" s="550">
        <f t="shared" si="19"/>
        <v>0</v>
      </c>
      <c r="M41" s="551" t="str">
        <f t="shared" si="4"/>
        <v>-</v>
      </c>
      <c r="N41" s="664"/>
      <c r="O41" s="548"/>
      <c r="P41" s="548"/>
      <c r="Q41" s="550">
        <f t="shared" si="18"/>
        <v>0</v>
      </c>
      <c r="R41" s="551" t="str">
        <f t="shared" si="6"/>
        <v>-</v>
      </c>
      <c r="S41" s="665"/>
      <c r="T41" s="548"/>
      <c r="U41" s="548"/>
      <c r="V41" s="550">
        <f t="shared" si="7"/>
        <v>0</v>
      </c>
      <c r="W41" s="551" t="str">
        <f t="shared" si="8"/>
        <v>-</v>
      </c>
      <c r="X41" s="665"/>
      <c r="Y41" s="554"/>
      <c r="Z41" s="554"/>
    </row>
    <row r="42" spans="1:26" x14ac:dyDescent="0.2">
      <c r="A42" s="265">
        <v>2380</v>
      </c>
      <c r="B42" s="35" t="s">
        <v>301</v>
      </c>
      <c r="C42" s="548"/>
      <c r="D42" s="548"/>
      <c r="E42" s="548"/>
      <c r="F42" s="548"/>
      <c r="G42" s="550">
        <f t="shared" si="17"/>
        <v>0</v>
      </c>
      <c r="H42" s="551" t="str">
        <f t="shared" si="2"/>
        <v>-</v>
      </c>
      <c r="I42" s="792"/>
      <c r="J42" s="548"/>
      <c r="K42" s="549"/>
      <c r="L42" s="550">
        <f t="shared" si="19"/>
        <v>0</v>
      </c>
      <c r="M42" s="551" t="str">
        <f t="shared" si="4"/>
        <v>-</v>
      </c>
      <c r="N42" s="664"/>
      <c r="O42" s="548"/>
      <c r="P42" s="548"/>
      <c r="Q42" s="550">
        <f t="shared" si="18"/>
        <v>0</v>
      </c>
      <c r="R42" s="551" t="str">
        <f t="shared" si="6"/>
        <v>-</v>
      </c>
      <c r="S42" s="665"/>
      <c r="T42" s="548"/>
      <c r="U42" s="548"/>
      <c r="V42" s="550">
        <f t="shared" si="7"/>
        <v>0</v>
      </c>
      <c r="W42" s="551" t="str">
        <f t="shared" si="8"/>
        <v>-</v>
      </c>
      <c r="X42" s="665"/>
      <c r="Y42" s="554"/>
      <c r="Z42" s="554"/>
    </row>
    <row r="43" spans="1:26" x14ac:dyDescent="0.2">
      <c r="A43" s="265">
        <v>2390</v>
      </c>
      <c r="B43" s="35" t="s">
        <v>302</v>
      </c>
      <c r="C43" s="548">
        <v>940</v>
      </c>
      <c r="D43" s="548">
        <v>872</v>
      </c>
      <c r="E43" s="548">
        <v>872</v>
      </c>
      <c r="F43" s="548"/>
      <c r="G43" s="550">
        <f t="shared" si="17"/>
        <v>-872</v>
      </c>
      <c r="H43" s="551">
        <f t="shared" si="2"/>
        <v>-1</v>
      </c>
      <c r="I43" s="793"/>
      <c r="J43" s="548">
        <v>872</v>
      </c>
      <c r="K43" s="549"/>
      <c r="L43" s="550">
        <f t="shared" si="19"/>
        <v>-872</v>
      </c>
      <c r="M43" s="551">
        <f t="shared" si="4"/>
        <v>-1</v>
      </c>
      <c r="N43" s="664"/>
      <c r="O43" s="548">
        <v>872</v>
      </c>
      <c r="P43" s="548"/>
      <c r="Q43" s="550">
        <f t="shared" si="18"/>
        <v>-872</v>
      </c>
      <c r="R43" s="551">
        <f t="shared" si="6"/>
        <v>-1</v>
      </c>
      <c r="S43" s="665"/>
      <c r="T43" s="548">
        <v>872</v>
      </c>
      <c r="U43" s="548"/>
      <c r="V43" s="550">
        <f t="shared" si="7"/>
        <v>-872</v>
      </c>
      <c r="W43" s="551">
        <f t="shared" si="8"/>
        <v>-1</v>
      </c>
      <c r="X43" s="665"/>
      <c r="Y43" s="554"/>
      <c r="Z43" s="554"/>
    </row>
    <row r="44" spans="1:26" s="307" customFormat="1" ht="31.5" customHeight="1" x14ac:dyDescent="0.2">
      <c r="A44" s="160">
        <v>2400</v>
      </c>
      <c r="B44" s="44" t="s">
        <v>303</v>
      </c>
      <c r="C44" s="654">
        <v>22753</v>
      </c>
      <c r="D44" s="654">
        <v>23000</v>
      </c>
      <c r="E44" s="654">
        <v>100000</v>
      </c>
      <c r="F44" s="654">
        <v>0</v>
      </c>
      <c r="G44" s="666">
        <f t="shared" si="17"/>
        <v>-100000</v>
      </c>
      <c r="H44" s="667">
        <f t="shared" si="2"/>
        <v>-1</v>
      </c>
      <c r="I44" s="668"/>
      <c r="J44" s="654">
        <v>74000</v>
      </c>
      <c r="K44" s="654"/>
      <c r="L44" s="666">
        <f t="shared" si="19"/>
        <v>-74000</v>
      </c>
      <c r="M44" s="667">
        <f t="shared" si="4"/>
        <v>-1</v>
      </c>
      <c r="N44" s="650"/>
      <c r="O44" s="654">
        <v>43000</v>
      </c>
      <c r="P44" s="654"/>
      <c r="Q44" s="666"/>
      <c r="R44" s="667"/>
      <c r="S44" s="651"/>
      <c r="T44" s="654">
        <v>23000</v>
      </c>
      <c r="U44" s="654"/>
      <c r="V44" s="666">
        <f t="shared" si="7"/>
        <v>-23000</v>
      </c>
      <c r="W44" s="667">
        <f t="shared" si="8"/>
        <v>-1</v>
      </c>
      <c r="X44" s="651"/>
      <c r="Y44" s="656"/>
      <c r="Z44" s="656"/>
    </row>
    <row r="45" spans="1:26" s="307" customFormat="1" x14ac:dyDescent="0.2">
      <c r="A45" s="160">
        <v>2500</v>
      </c>
      <c r="B45" s="44" t="s">
        <v>304</v>
      </c>
      <c r="C45" s="654">
        <v>0</v>
      </c>
      <c r="D45" s="654">
        <v>0</v>
      </c>
      <c r="E45" s="654">
        <v>0</v>
      </c>
      <c r="F45" s="654">
        <v>0</v>
      </c>
      <c r="G45" s="666">
        <f t="shared" si="17"/>
        <v>0</v>
      </c>
      <c r="H45" s="667" t="str">
        <f t="shared" si="2"/>
        <v>-</v>
      </c>
      <c r="I45" s="651"/>
      <c r="J45" s="654">
        <v>0</v>
      </c>
      <c r="K45" s="654">
        <v>0</v>
      </c>
      <c r="L45" s="666">
        <f t="shared" si="19"/>
        <v>0</v>
      </c>
      <c r="M45" s="667" t="str">
        <f t="shared" si="4"/>
        <v>-</v>
      </c>
      <c r="N45" s="651"/>
      <c r="O45" s="654">
        <v>0</v>
      </c>
      <c r="P45" s="654"/>
      <c r="Q45" s="666"/>
      <c r="R45" s="667"/>
      <c r="S45" s="651"/>
      <c r="T45" s="654">
        <v>0</v>
      </c>
      <c r="U45" s="654"/>
      <c r="V45" s="666">
        <f t="shared" si="7"/>
        <v>0</v>
      </c>
      <c r="W45" s="667" t="str">
        <f t="shared" si="8"/>
        <v>-</v>
      </c>
      <c r="X45" s="651"/>
      <c r="Y45" s="656"/>
      <c r="Z45" s="656"/>
    </row>
    <row r="46" spans="1:26" s="307" customFormat="1" x14ac:dyDescent="0.2">
      <c r="A46" s="160">
        <v>2600</v>
      </c>
      <c r="B46" s="44" t="s">
        <v>305</v>
      </c>
      <c r="C46" s="654">
        <v>1217330</v>
      </c>
      <c r="D46" s="654">
        <v>1100000</v>
      </c>
      <c r="E46" s="654">
        <v>1783625</v>
      </c>
      <c r="F46" s="654">
        <v>0</v>
      </c>
      <c r="G46" s="666">
        <f t="shared" si="17"/>
        <v>-1783625</v>
      </c>
      <c r="H46" s="667">
        <f t="shared" si="2"/>
        <v>-1</v>
      </c>
      <c r="I46" s="711"/>
      <c r="J46" s="654">
        <v>1100000</v>
      </c>
      <c r="K46" s="654"/>
      <c r="L46" s="666">
        <f t="shared" si="19"/>
        <v>-1100000</v>
      </c>
      <c r="M46" s="667">
        <f t="shared" si="4"/>
        <v>-1</v>
      </c>
      <c r="N46" s="712"/>
      <c r="O46" s="654">
        <v>1100000</v>
      </c>
      <c r="P46" s="654"/>
      <c r="Q46" s="666"/>
      <c r="R46" s="667"/>
      <c r="S46" s="651"/>
      <c r="T46" s="654">
        <v>1100000</v>
      </c>
      <c r="U46" s="654"/>
      <c r="V46" s="666">
        <f t="shared" si="7"/>
        <v>-1100000</v>
      </c>
      <c r="W46" s="667">
        <f t="shared" si="8"/>
        <v>-1</v>
      </c>
      <c r="X46" s="651"/>
      <c r="Y46" s="656"/>
      <c r="Z46" s="656"/>
    </row>
    <row r="47" spans="1:26" s="32" customFormat="1" x14ac:dyDescent="0.2">
      <c r="A47" s="622"/>
      <c r="B47" s="623" t="s">
        <v>306</v>
      </c>
      <c r="C47" s="625">
        <f>C25+C3</f>
        <v>18366669</v>
      </c>
      <c r="D47" s="625">
        <f>D3+D25</f>
        <v>19190217</v>
      </c>
      <c r="E47" s="625">
        <f>E3+E25</f>
        <v>17980324</v>
      </c>
      <c r="F47" s="625">
        <f>F25+F3</f>
        <v>0</v>
      </c>
      <c r="G47" s="632">
        <f t="shared" si="17"/>
        <v>-17980324</v>
      </c>
      <c r="H47" s="633">
        <f t="shared" si="2"/>
        <v>-1</v>
      </c>
      <c r="I47" s="634"/>
      <c r="J47" s="625">
        <f>J3+J25</f>
        <v>17641949</v>
      </c>
      <c r="K47" s="625">
        <f>K25+K3</f>
        <v>0</v>
      </c>
      <c r="L47" s="632">
        <f t="shared" si="19"/>
        <v>-17641949</v>
      </c>
      <c r="M47" s="633">
        <f t="shared" si="4"/>
        <v>-1</v>
      </c>
      <c r="N47" s="634"/>
      <c r="O47" s="625">
        <f>O3+O25</f>
        <v>19286694</v>
      </c>
      <c r="P47" s="669">
        <f>P25+P3</f>
        <v>0</v>
      </c>
      <c r="Q47" s="670">
        <f t="shared" ref="Q47" si="23">P47-O47</f>
        <v>-19286694</v>
      </c>
      <c r="R47" s="671">
        <f t="shared" ref="R47" si="24">IFERROR(Q47/ABS(O47), "-")</f>
        <v>-1</v>
      </c>
      <c r="S47" s="635"/>
      <c r="T47" s="625">
        <f>T3+T25</f>
        <v>19190217</v>
      </c>
      <c r="U47" s="672">
        <f>U25+U3</f>
        <v>0</v>
      </c>
      <c r="V47" s="673">
        <f t="shared" si="7"/>
        <v>-19190217</v>
      </c>
      <c r="W47" s="674">
        <f t="shared" si="8"/>
        <v>-1</v>
      </c>
      <c r="X47" s="675"/>
      <c r="Y47" s="630"/>
      <c r="Z47" s="630"/>
    </row>
    <row r="48" spans="1:26" s="32" customFormat="1" ht="12" customHeight="1" x14ac:dyDescent="0.2">
      <c r="A48" s="33"/>
      <c r="B48" s="24"/>
      <c r="C48" s="466"/>
      <c r="D48" s="466"/>
      <c r="E48" s="466"/>
      <c r="F48" s="466"/>
      <c r="G48" s="628"/>
      <c r="H48" s="631"/>
      <c r="I48" s="466"/>
      <c r="J48" s="466"/>
      <c r="K48" s="466"/>
      <c r="L48" s="628"/>
      <c r="M48" s="631"/>
      <c r="N48" s="466"/>
      <c r="O48" s="466"/>
      <c r="P48" s="466"/>
      <c r="Q48" s="628"/>
      <c r="R48" s="631"/>
      <c r="S48" s="466"/>
      <c r="T48" s="466"/>
      <c r="U48" s="466"/>
      <c r="V48" s="628"/>
      <c r="W48" s="631"/>
      <c r="X48" s="466"/>
      <c r="Y48" s="630"/>
      <c r="Z48" s="630"/>
    </row>
    <row r="49" spans="1:26" s="306" customFormat="1" x14ac:dyDescent="0.2">
      <c r="A49" s="626">
        <v>3000</v>
      </c>
      <c r="B49" s="627" t="s">
        <v>307</v>
      </c>
      <c r="C49" s="459">
        <f>C50+C51+C52+C55</f>
        <v>5231075</v>
      </c>
      <c r="D49" s="459">
        <f>D50+D51+D52+D55</f>
        <v>3991825</v>
      </c>
      <c r="E49" s="459">
        <f>E50+E51+E52+E55</f>
        <v>5377877</v>
      </c>
      <c r="F49" s="459">
        <f>F50+F51+F52+F55</f>
        <v>0</v>
      </c>
      <c r="G49" s="676">
        <f>F49-E49</f>
        <v>-5377877</v>
      </c>
      <c r="H49" s="677">
        <f>IFERROR(G49/ABS(E49), "-")</f>
        <v>-1</v>
      </c>
      <c r="I49" s="678"/>
      <c r="J49" s="459">
        <f>J50+J51+J52+J55</f>
        <v>5100552</v>
      </c>
      <c r="K49" s="459">
        <f>K50+K51+K55</f>
        <v>0</v>
      </c>
      <c r="L49" s="676">
        <f>K49-J49</f>
        <v>-5100552</v>
      </c>
      <c r="M49" s="677">
        <f>IFERROR(L49/ABS(J49), "-")</f>
        <v>-1</v>
      </c>
      <c r="N49" s="679"/>
      <c r="O49" s="459">
        <f>O50+O51+O52+O55</f>
        <v>4769375</v>
      </c>
      <c r="P49" s="459">
        <f>P50+P51+P52+P55</f>
        <v>0</v>
      </c>
      <c r="Q49" s="676">
        <f>P49-O49</f>
        <v>-4769375</v>
      </c>
      <c r="R49" s="677">
        <f>IFERROR(Q49/ABS(O49), "-")</f>
        <v>-1</v>
      </c>
      <c r="S49" s="678"/>
      <c r="T49" s="459">
        <f>T50+T51+T52+T55</f>
        <v>3991825</v>
      </c>
      <c r="U49" s="636">
        <f>U50+U51+U52+U55</f>
        <v>0</v>
      </c>
      <c r="V49" s="637">
        <f>U49-T49</f>
        <v>-3991825</v>
      </c>
      <c r="W49" s="638">
        <f>IFERROR(V49/ABS(T49), "-")</f>
        <v>-1</v>
      </c>
      <c r="X49" s="680"/>
      <c r="Y49" s="652"/>
      <c r="Z49" s="652"/>
    </row>
    <row r="50" spans="1:26" s="307" customFormat="1" x14ac:dyDescent="0.2">
      <c r="A50" s="34">
        <v>3100</v>
      </c>
      <c r="B50" s="44" t="s">
        <v>308</v>
      </c>
      <c r="C50" s="654">
        <v>4044523</v>
      </c>
      <c r="D50" s="654">
        <v>4044523</v>
      </c>
      <c r="E50" s="654">
        <v>4044523</v>
      </c>
      <c r="F50" s="654">
        <v>0</v>
      </c>
      <c r="G50" s="666">
        <f t="shared" ref="G50:G80" si="25">F50-E50</f>
        <v>-4044523</v>
      </c>
      <c r="H50" s="667">
        <f t="shared" ref="H50:H84" si="26">IFERROR(G50/ABS(E50), "-")</f>
        <v>-1</v>
      </c>
      <c r="I50" s="681"/>
      <c r="J50" s="654">
        <v>4044523</v>
      </c>
      <c r="K50" s="654"/>
      <c r="L50" s="666">
        <f t="shared" ref="L50:L80" si="27">K50-J50</f>
        <v>-4044523</v>
      </c>
      <c r="M50" s="667">
        <f t="shared" ref="M50:M80" si="28">IFERROR(L50/ABS(J50), "-")</f>
        <v>-1</v>
      </c>
      <c r="N50" s="682"/>
      <c r="O50" s="654">
        <v>4044523</v>
      </c>
      <c r="P50" s="654"/>
      <c r="Q50" s="666">
        <f t="shared" ref="Q50:Q80" si="29">P50-O50</f>
        <v>-4044523</v>
      </c>
      <c r="R50" s="667">
        <f t="shared" ref="R50:R80" si="30">IFERROR(Q50/ABS(O50), "-")</f>
        <v>-1</v>
      </c>
      <c r="S50" s="681"/>
      <c r="T50" s="654">
        <v>4044523</v>
      </c>
      <c r="U50" s="654"/>
      <c r="V50" s="666">
        <f t="shared" ref="V50:V80" si="31">U50-T50</f>
        <v>-4044523</v>
      </c>
      <c r="W50" s="667">
        <f t="shared" ref="W50:W80" si="32">IFERROR(V50/ABS(T50), "-")</f>
        <v>-1</v>
      </c>
      <c r="X50" s="681"/>
      <c r="Y50" s="656"/>
      <c r="Z50" s="656"/>
    </row>
    <row r="51" spans="1:26" s="307" customFormat="1" x14ac:dyDescent="0.2">
      <c r="A51" s="34">
        <v>3200</v>
      </c>
      <c r="B51" s="44" t="s">
        <v>309</v>
      </c>
      <c r="C51" s="654">
        <v>2023178</v>
      </c>
      <c r="D51" s="654">
        <v>1964338</v>
      </c>
      <c r="E51" s="654">
        <v>2023178</v>
      </c>
      <c r="F51" s="654">
        <v>0</v>
      </c>
      <c r="G51" s="666">
        <v>0</v>
      </c>
      <c r="H51" s="667">
        <f t="shared" si="26"/>
        <v>0</v>
      </c>
      <c r="I51" s="683"/>
      <c r="J51" s="654">
        <v>2023178</v>
      </c>
      <c r="K51" s="654"/>
      <c r="L51" s="666">
        <f t="shared" si="27"/>
        <v>-2023178</v>
      </c>
      <c r="M51" s="667">
        <f t="shared" si="28"/>
        <v>-1</v>
      </c>
      <c r="N51" s="684"/>
      <c r="O51" s="654">
        <v>2023178</v>
      </c>
      <c r="P51" s="654"/>
      <c r="Q51" s="666">
        <f t="shared" si="29"/>
        <v>-2023178</v>
      </c>
      <c r="R51" s="667">
        <f t="shared" si="30"/>
        <v>-1</v>
      </c>
      <c r="S51" s="683"/>
      <c r="T51" s="654">
        <v>1964338</v>
      </c>
      <c r="U51" s="654"/>
      <c r="V51" s="666">
        <f t="shared" si="31"/>
        <v>-1964338</v>
      </c>
      <c r="W51" s="667">
        <f t="shared" si="32"/>
        <v>-1</v>
      </c>
      <c r="X51" s="683"/>
      <c r="Y51" s="656"/>
      <c r="Z51" s="656"/>
    </row>
    <row r="52" spans="1:26" s="307" customFormat="1" x14ac:dyDescent="0.2">
      <c r="A52" s="34">
        <v>3300</v>
      </c>
      <c r="B52" s="309" t="s">
        <v>310</v>
      </c>
      <c r="C52" s="654">
        <f>C53+C54</f>
        <v>0</v>
      </c>
      <c r="D52" s="654">
        <f t="shared" ref="D52:F52" si="33">D53+D54</f>
        <v>0</v>
      </c>
      <c r="E52" s="654">
        <f t="shared" si="33"/>
        <v>0</v>
      </c>
      <c r="F52" s="654">
        <f t="shared" si="33"/>
        <v>0</v>
      </c>
      <c r="G52" s="666">
        <f t="shared" ref="G52:G54" si="34">F52-E52</f>
        <v>0</v>
      </c>
      <c r="H52" s="667" t="str">
        <f t="shared" si="26"/>
        <v>-</v>
      </c>
      <c r="I52" s="780"/>
      <c r="J52" s="654">
        <f>J53+J54</f>
        <v>0</v>
      </c>
      <c r="K52" s="654">
        <f t="shared" ref="K52" si="35">K53+K54</f>
        <v>0</v>
      </c>
      <c r="L52" s="666">
        <f t="shared" si="27"/>
        <v>0</v>
      </c>
      <c r="M52" s="667" t="str">
        <f t="shared" si="28"/>
        <v>-</v>
      </c>
      <c r="N52" s="788"/>
      <c r="O52" s="654">
        <f>O53+O54</f>
        <v>0</v>
      </c>
      <c r="P52" s="654">
        <f t="shared" ref="P52" si="36">P53+P54</f>
        <v>0</v>
      </c>
      <c r="Q52" s="666">
        <f t="shared" si="29"/>
        <v>0</v>
      </c>
      <c r="R52" s="667" t="str">
        <f t="shared" si="30"/>
        <v>-</v>
      </c>
      <c r="S52" s="780"/>
      <c r="T52" s="654">
        <f>T53+T54</f>
        <v>0</v>
      </c>
      <c r="U52" s="654">
        <f t="shared" ref="U52" si="37">U53+U54</f>
        <v>0</v>
      </c>
      <c r="V52" s="666">
        <f t="shared" si="31"/>
        <v>0</v>
      </c>
      <c r="W52" s="667" t="str">
        <f t="shared" si="32"/>
        <v>-</v>
      </c>
      <c r="X52" s="764"/>
      <c r="Y52" s="656"/>
      <c r="Z52" s="656"/>
    </row>
    <row r="53" spans="1:26" x14ac:dyDescent="0.2">
      <c r="A53" s="265">
        <v>3320</v>
      </c>
      <c r="B53" s="37" t="s">
        <v>311</v>
      </c>
      <c r="C53" s="549"/>
      <c r="D53" s="549"/>
      <c r="E53" s="549"/>
      <c r="F53" s="549"/>
      <c r="G53" s="552">
        <f t="shared" si="34"/>
        <v>0</v>
      </c>
      <c r="H53" s="553" t="str">
        <f t="shared" si="26"/>
        <v>-</v>
      </c>
      <c r="I53" s="765"/>
      <c r="J53" s="549"/>
      <c r="K53" s="549"/>
      <c r="L53" s="552">
        <f t="shared" si="27"/>
        <v>0</v>
      </c>
      <c r="M53" s="553" t="str">
        <f t="shared" si="28"/>
        <v>-</v>
      </c>
      <c r="N53" s="775"/>
      <c r="O53" s="549"/>
      <c r="P53" s="549"/>
      <c r="Q53" s="552">
        <f t="shared" si="29"/>
        <v>0</v>
      </c>
      <c r="R53" s="553" t="str">
        <f t="shared" si="30"/>
        <v>-</v>
      </c>
      <c r="S53" s="765"/>
      <c r="T53" s="549"/>
      <c r="U53" s="549"/>
      <c r="V53" s="552">
        <f t="shared" si="31"/>
        <v>0</v>
      </c>
      <c r="W53" s="553" t="str">
        <f t="shared" si="32"/>
        <v>-</v>
      </c>
      <c r="X53" s="765"/>
      <c r="Y53" s="554"/>
      <c r="Z53" s="554"/>
    </row>
    <row r="54" spans="1:26" x14ac:dyDescent="0.2">
      <c r="A54" s="265">
        <v>3360</v>
      </c>
      <c r="B54" s="37" t="s">
        <v>312</v>
      </c>
      <c r="C54" s="549"/>
      <c r="D54" s="549"/>
      <c r="E54" s="549"/>
      <c r="F54" s="549"/>
      <c r="G54" s="552">
        <f t="shared" si="34"/>
        <v>0</v>
      </c>
      <c r="H54" s="553" t="str">
        <f t="shared" si="26"/>
        <v>-</v>
      </c>
      <c r="I54" s="765"/>
      <c r="J54" s="549"/>
      <c r="K54" s="549"/>
      <c r="L54" s="552">
        <f t="shared" si="27"/>
        <v>0</v>
      </c>
      <c r="M54" s="553" t="str">
        <f t="shared" si="28"/>
        <v>-</v>
      </c>
      <c r="N54" s="775"/>
      <c r="O54" s="549"/>
      <c r="P54" s="549"/>
      <c r="Q54" s="552">
        <f t="shared" si="29"/>
        <v>0</v>
      </c>
      <c r="R54" s="553" t="str">
        <f t="shared" si="30"/>
        <v>-</v>
      </c>
      <c r="S54" s="765"/>
      <c r="T54" s="549"/>
      <c r="U54" s="549"/>
      <c r="V54" s="552">
        <f t="shared" si="31"/>
        <v>0</v>
      </c>
      <c r="W54" s="553" t="str">
        <f t="shared" si="32"/>
        <v>-</v>
      </c>
      <c r="X54" s="765"/>
      <c r="Y54" s="554"/>
      <c r="Z54" s="554"/>
    </row>
    <row r="55" spans="1:26" s="32" customFormat="1" x14ac:dyDescent="0.25">
      <c r="A55" s="34">
        <v>3500</v>
      </c>
      <c r="B55" s="44" t="s">
        <v>313</v>
      </c>
      <c r="C55" s="458">
        <f>C56+C57</f>
        <v>-836626</v>
      </c>
      <c r="D55" s="458">
        <f t="shared" ref="D55:F55" si="38">D56+D57</f>
        <v>-2017036</v>
      </c>
      <c r="E55" s="458">
        <f t="shared" si="38"/>
        <v>-689824</v>
      </c>
      <c r="F55" s="458">
        <f t="shared" si="38"/>
        <v>0</v>
      </c>
      <c r="G55" s="685">
        <f t="shared" si="25"/>
        <v>689824</v>
      </c>
      <c r="H55" s="686">
        <f t="shared" si="26"/>
        <v>1</v>
      </c>
      <c r="I55" s="687"/>
      <c r="J55" s="458">
        <f t="shared" ref="J55:K55" si="39">J56+J57</f>
        <v>-967149</v>
      </c>
      <c r="K55" s="458">
        <f t="shared" si="39"/>
        <v>0</v>
      </c>
      <c r="L55" s="685">
        <f t="shared" si="27"/>
        <v>967149</v>
      </c>
      <c r="M55" s="686">
        <f t="shared" si="28"/>
        <v>1</v>
      </c>
      <c r="N55" s="643"/>
      <c r="O55" s="458">
        <f t="shared" ref="O55" si="40">O56+O57</f>
        <v>-1298326</v>
      </c>
      <c r="P55" s="688"/>
      <c r="Q55" s="685">
        <f t="shared" si="29"/>
        <v>1298326</v>
      </c>
      <c r="R55" s="686">
        <f t="shared" si="30"/>
        <v>1</v>
      </c>
      <c r="S55" s="643"/>
      <c r="T55" s="458">
        <f t="shared" ref="T55" si="41">T56+T57</f>
        <v>-2017036</v>
      </c>
      <c r="U55" s="688"/>
      <c r="V55" s="685">
        <f t="shared" si="31"/>
        <v>2017036</v>
      </c>
      <c r="W55" s="686">
        <f t="shared" si="32"/>
        <v>1</v>
      </c>
      <c r="X55" s="766"/>
      <c r="Y55" s="630"/>
      <c r="Z55" s="630"/>
    </row>
    <row r="56" spans="1:26" ht="31.5" customHeight="1" x14ac:dyDescent="0.2">
      <c r="A56" s="265">
        <v>3510</v>
      </c>
      <c r="B56" s="35" t="s">
        <v>314</v>
      </c>
      <c r="C56" s="549">
        <v>-283697</v>
      </c>
      <c r="D56" s="549">
        <v>-836626</v>
      </c>
      <c r="E56" s="549">
        <v>-836626</v>
      </c>
      <c r="F56" s="549"/>
      <c r="G56" s="549">
        <v>-836626</v>
      </c>
      <c r="H56" s="549">
        <v>-836626</v>
      </c>
      <c r="I56" s="549"/>
      <c r="J56" s="549">
        <v>-836626</v>
      </c>
      <c r="K56" s="549">
        <v>0</v>
      </c>
      <c r="L56" s="549">
        <v>-836626</v>
      </c>
      <c r="M56" s="549">
        <v>-836626</v>
      </c>
      <c r="N56" s="549">
        <v>-836626</v>
      </c>
      <c r="O56" s="549">
        <v>-836626</v>
      </c>
      <c r="P56" s="549"/>
      <c r="Q56" s="549">
        <v>-836626</v>
      </c>
      <c r="R56" s="549">
        <v>-836626</v>
      </c>
      <c r="S56" s="549">
        <v>-836626</v>
      </c>
      <c r="T56" s="549">
        <v>-836626</v>
      </c>
      <c r="U56" s="549"/>
      <c r="V56" s="552">
        <f t="shared" si="31"/>
        <v>836626</v>
      </c>
      <c r="W56" s="553">
        <f t="shared" si="32"/>
        <v>1</v>
      </c>
      <c r="X56" s="767"/>
      <c r="Y56" s="554"/>
      <c r="Z56" s="554"/>
    </row>
    <row r="57" spans="1:26" ht="47.25" customHeight="1" x14ac:dyDescent="0.25">
      <c r="A57" s="265">
        <v>3520</v>
      </c>
      <c r="B57" s="35" t="s">
        <v>315</v>
      </c>
      <c r="C57" s="549">
        <v>-552929</v>
      </c>
      <c r="D57" s="549">
        <v>-1180410</v>
      </c>
      <c r="E57" s="549">
        <v>146802</v>
      </c>
      <c r="F57" s="549"/>
      <c r="G57" s="552">
        <f t="shared" si="25"/>
        <v>-146802</v>
      </c>
      <c r="H57" s="553">
        <f t="shared" si="26"/>
        <v>-1</v>
      </c>
      <c r="I57" s="689"/>
      <c r="J57" s="549">
        <v>-130523</v>
      </c>
      <c r="K57" s="549"/>
      <c r="L57" s="552">
        <f t="shared" si="27"/>
        <v>130523</v>
      </c>
      <c r="M57" s="553">
        <f t="shared" si="28"/>
        <v>1</v>
      </c>
      <c r="N57" s="659"/>
      <c r="O57" s="549">
        <v>-461700</v>
      </c>
      <c r="P57" s="549"/>
      <c r="Q57" s="552">
        <f t="shared" si="29"/>
        <v>461700</v>
      </c>
      <c r="R57" s="553">
        <f t="shared" si="30"/>
        <v>1</v>
      </c>
      <c r="S57" s="659"/>
      <c r="T57" s="549">
        <v>-1180410</v>
      </c>
      <c r="U57" s="549"/>
      <c r="V57" s="552">
        <f t="shared" si="31"/>
        <v>1180410</v>
      </c>
      <c r="W57" s="553">
        <f t="shared" si="32"/>
        <v>1</v>
      </c>
      <c r="X57" s="768"/>
      <c r="Y57" s="554"/>
      <c r="Z57" s="554"/>
    </row>
    <row r="58" spans="1:26" x14ac:dyDescent="0.2">
      <c r="A58" s="624">
        <v>4000</v>
      </c>
      <c r="B58" s="623" t="s">
        <v>316</v>
      </c>
      <c r="C58" s="690">
        <v>267048</v>
      </c>
      <c r="D58" s="690">
        <v>292000</v>
      </c>
      <c r="E58" s="690">
        <v>267048</v>
      </c>
      <c r="F58" s="690">
        <v>0</v>
      </c>
      <c r="G58" s="691">
        <f t="shared" si="25"/>
        <v>-267048</v>
      </c>
      <c r="H58" s="692">
        <f t="shared" si="26"/>
        <v>-1</v>
      </c>
      <c r="I58" s="693"/>
      <c r="J58" s="690">
        <v>267048</v>
      </c>
      <c r="K58" s="690">
        <v>0</v>
      </c>
      <c r="L58" s="691">
        <v>0</v>
      </c>
      <c r="M58" s="692">
        <f t="shared" si="28"/>
        <v>0</v>
      </c>
      <c r="N58" s="694"/>
      <c r="O58" s="690">
        <v>267048</v>
      </c>
      <c r="P58" s="690"/>
      <c r="Q58" s="691">
        <v>0</v>
      </c>
      <c r="R58" s="692">
        <f t="shared" si="30"/>
        <v>0</v>
      </c>
      <c r="S58" s="693"/>
      <c r="T58" s="690">
        <v>292000</v>
      </c>
      <c r="U58" s="695"/>
      <c r="V58" s="696">
        <v>0</v>
      </c>
      <c r="W58" s="697">
        <f t="shared" si="32"/>
        <v>0</v>
      </c>
      <c r="X58" s="698"/>
      <c r="Y58" s="554"/>
      <c r="Z58" s="554"/>
    </row>
    <row r="59" spans="1:26" s="32" customFormat="1" x14ac:dyDescent="0.2">
      <c r="A59" s="624">
        <v>5000</v>
      </c>
      <c r="B59" s="623" t="s">
        <v>317</v>
      </c>
      <c r="C59" s="625">
        <f>C60+C70</f>
        <v>12868546</v>
      </c>
      <c r="D59" s="625">
        <f>D60+D70</f>
        <v>14906392</v>
      </c>
      <c r="E59" s="625">
        <f>E60+E70</f>
        <v>12335399</v>
      </c>
      <c r="F59" s="625">
        <f>F60+F70</f>
        <v>0</v>
      </c>
      <c r="G59" s="632">
        <f t="shared" si="25"/>
        <v>-12335399</v>
      </c>
      <c r="H59" s="633">
        <f t="shared" si="26"/>
        <v>-1</v>
      </c>
      <c r="I59" s="634"/>
      <c r="J59" s="625">
        <f>J60+J70</f>
        <v>12274349</v>
      </c>
      <c r="K59" s="625">
        <f>K60+K70</f>
        <v>0</v>
      </c>
      <c r="L59" s="632">
        <f t="shared" si="27"/>
        <v>-12274349</v>
      </c>
      <c r="M59" s="633">
        <f t="shared" si="28"/>
        <v>-1</v>
      </c>
      <c r="N59" s="635"/>
      <c r="O59" s="625">
        <f>O60+O70</f>
        <v>14250271</v>
      </c>
      <c r="P59" s="625">
        <f>P60+P70</f>
        <v>0</v>
      </c>
      <c r="Q59" s="632">
        <f t="shared" si="29"/>
        <v>-14250271</v>
      </c>
      <c r="R59" s="633">
        <f t="shared" si="30"/>
        <v>-1</v>
      </c>
      <c r="S59" s="634"/>
      <c r="T59" s="625">
        <f>T60+T70</f>
        <v>14906392</v>
      </c>
      <c r="U59" s="636">
        <f>U60+U70</f>
        <v>0</v>
      </c>
      <c r="V59" s="637">
        <f t="shared" si="31"/>
        <v>-14906392</v>
      </c>
      <c r="W59" s="638">
        <f t="shared" si="32"/>
        <v>-1</v>
      </c>
      <c r="X59" s="639"/>
      <c r="Y59" s="630"/>
      <c r="Z59" s="630"/>
    </row>
    <row r="60" spans="1:26" s="32" customFormat="1" x14ac:dyDescent="0.2">
      <c r="A60" s="34">
        <v>5100</v>
      </c>
      <c r="B60" s="44" t="s">
        <v>318</v>
      </c>
      <c r="C60" s="458">
        <f>SUM(C61:C69)</f>
        <v>7091080</v>
      </c>
      <c r="D60" s="458">
        <f>SUM(D61:D69)</f>
        <v>9533161</v>
      </c>
      <c r="E60" s="458">
        <f>SUM(E61:E69)</f>
        <v>8022425</v>
      </c>
      <c r="F60" s="458">
        <f>SUM(F61:F69)</f>
        <v>0</v>
      </c>
      <c r="G60" s="640">
        <f t="shared" si="25"/>
        <v>-8022425</v>
      </c>
      <c r="H60" s="641">
        <f t="shared" si="26"/>
        <v>-1</v>
      </c>
      <c r="I60" s="784"/>
      <c r="J60" s="458">
        <f>SUM(J61:J69)</f>
        <v>7725000</v>
      </c>
      <c r="K60" s="458">
        <f>SUM(K61:K69)</f>
        <v>0</v>
      </c>
      <c r="L60" s="640">
        <f t="shared" si="27"/>
        <v>-7725000</v>
      </c>
      <c r="M60" s="641">
        <f t="shared" si="28"/>
        <v>-1</v>
      </c>
      <c r="N60" s="788"/>
      <c r="O60" s="458">
        <f>SUM(O61:O69)</f>
        <v>9652471</v>
      </c>
      <c r="P60" s="458">
        <f>SUM(P61:P69)</f>
        <v>0</v>
      </c>
      <c r="Q60" s="640">
        <f t="shared" si="29"/>
        <v>-9652471</v>
      </c>
      <c r="R60" s="641">
        <f t="shared" si="30"/>
        <v>-1</v>
      </c>
      <c r="S60" s="780"/>
      <c r="T60" s="458">
        <f>SUM(T61:T69)</f>
        <v>9533161</v>
      </c>
      <c r="U60" s="458">
        <f>SUM(U61:U69)</f>
        <v>0</v>
      </c>
      <c r="V60" s="640">
        <f t="shared" si="31"/>
        <v>-9533161</v>
      </c>
      <c r="W60" s="641">
        <f t="shared" si="32"/>
        <v>-1</v>
      </c>
      <c r="X60" s="766"/>
      <c r="Y60" s="630"/>
      <c r="Z60" s="630"/>
    </row>
    <row r="61" spans="1:26" x14ac:dyDescent="0.2">
      <c r="A61" s="265">
        <v>5110</v>
      </c>
      <c r="B61" s="35" t="s">
        <v>319</v>
      </c>
      <c r="C61" s="548"/>
      <c r="D61" s="549"/>
      <c r="E61" s="548"/>
      <c r="F61" s="548"/>
      <c r="G61" s="550">
        <f t="shared" si="25"/>
        <v>0</v>
      </c>
      <c r="H61" s="551" t="str">
        <f t="shared" si="26"/>
        <v>-</v>
      </c>
      <c r="I61" s="785"/>
      <c r="J61" s="548"/>
      <c r="K61" s="549"/>
      <c r="L61" s="550">
        <f t="shared" si="27"/>
        <v>0</v>
      </c>
      <c r="M61" s="551" t="str">
        <f t="shared" si="28"/>
        <v>-</v>
      </c>
      <c r="N61" s="775"/>
      <c r="O61" s="548"/>
      <c r="P61" s="548"/>
      <c r="Q61" s="550">
        <f t="shared" si="29"/>
        <v>0</v>
      </c>
      <c r="R61" s="551" t="str">
        <f t="shared" si="30"/>
        <v>-</v>
      </c>
      <c r="S61" s="765"/>
      <c r="T61" s="548"/>
      <c r="U61" s="548"/>
      <c r="V61" s="550">
        <f t="shared" si="31"/>
        <v>0</v>
      </c>
      <c r="W61" s="551" t="str">
        <f t="shared" si="32"/>
        <v>-</v>
      </c>
      <c r="X61" s="767"/>
      <c r="Y61" s="554"/>
      <c r="Z61" s="554"/>
    </row>
    <row r="62" spans="1:26" x14ac:dyDescent="0.2">
      <c r="A62" s="546">
        <v>5120</v>
      </c>
      <c r="B62" s="547" t="s">
        <v>320</v>
      </c>
      <c r="C62" s="548"/>
      <c r="D62" s="549"/>
      <c r="E62" s="548"/>
      <c r="F62" s="548"/>
      <c r="G62" s="550">
        <f t="shared" si="25"/>
        <v>0</v>
      </c>
      <c r="H62" s="551" t="str">
        <f t="shared" si="26"/>
        <v>-</v>
      </c>
      <c r="I62" s="785"/>
      <c r="J62" s="548"/>
      <c r="K62" s="549"/>
      <c r="L62" s="550">
        <f t="shared" si="27"/>
        <v>0</v>
      </c>
      <c r="M62" s="551" t="str">
        <f t="shared" si="28"/>
        <v>-</v>
      </c>
      <c r="N62" s="775"/>
      <c r="O62" s="548"/>
      <c r="P62" s="548"/>
      <c r="Q62" s="550">
        <f t="shared" si="29"/>
        <v>0</v>
      </c>
      <c r="R62" s="551" t="str">
        <f t="shared" si="30"/>
        <v>-</v>
      </c>
      <c r="S62" s="765"/>
      <c r="T62" s="548"/>
      <c r="U62" s="548"/>
      <c r="V62" s="550">
        <f t="shared" si="31"/>
        <v>0</v>
      </c>
      <c r="W62" s="551" t="str">
        <f t="shared" si="32"/>
        <v>-</v>
      </c>
      <c r="X62" s="767"/>
      <c r="Y62" s="554"/>
      <c r="Z62" s="554"/>
    </row>
    <row r="63" spans="1:26" x14ac:dyDescent="0.2">
      <c r="A63" s="546">
        <v>5130</v>
      </c>
      <c r="B63" s="547" t="s">
        <v>321</v>
      </c>
      <c r="C63" s="548"/>
      <c r="D63" s="549"/>
      <c r="E63" s="548"/>
      <c r="F63" s="548"/>
      <c r="G63" s="550">
        <f t="shared" si="25"/>
        <v>0</v>
      </c>
      <c r="H63" s="551" t="str">
        <f t="shared" si="26"/>
        <v>-</v>
      </c>
      <c r="I63" s="785"/>
      <c r="J63" s="548"/>
      <c r="K63" s="549"/>
      <c r="L63" s="550">
        <f t="shared" si="27"/>
        <v>0</v>
      </c>
      <c r="M63" s="551" t="str">
        <f t="shared" si="28"/>
        <v>-</v>
      </c>
      <c r="N63" s="775"/>
      <c r="O63" s="548"/>
      <c r="P63" s="548"/>
      <c r="Q63" s="550">
        <f t="shared" si="29"/>
        <v>0</v>
      </c>
      <c r="R63" s="551" t="str">
        <f t="shared" si="30"/>
        <v>-</v>
      </c>
      <c r="S63" s="765"/>
      <c r="T63" s="548"/>
      <c r="U63" s="548"/>
      <c r="V63" s="550">
        <f t="shared" si="31"/>
        <v>0</v>
      </c>
      <c r="W63" s="551" t="str">
        <f t="shared" si="32"/>
        <v>-</v>
      </c>
      <c r="X63" s="767"/>
      <c r="Y63" s="554"/>
      <c r="Z63" s="554"/>
    </row>
    <row r="64" spans="1:26" x14ac:dyDescent="0.2">
      <c r="A64" s="546">
        <v>5140</v>
      </c>
      <c r="B64" s="547" t="s">
        <v>322</v>
      </c>
      <c r="C64" s="548">
        <v>237225</v>
      </c>
      <c r="D64" s="549">
        <v>84754</v>
      </c>
      <c r="E64" s="548">
        <v>237225</v>
      </c>
      <c r="F64" s="548"/>
      <c r="G64" s="550">
        <f t="shared" si="25"/>
        <v>-237225</v>
      </c>
      <c r="H64" s="551">
        <f t="shared" si="26"/>
        <v>-1</v>
      </c>
      <c r="I64" s="785"/>
      <c r="J64" s="548">
        <v>152471</v>
      </c>
      <c r="K64" s="549"/>
      <c r="L64" s="550">
        <f t="shared" si="27"/>
        <v>-152471</v>
      </c>
      <c r="M64" s="551">
        <f t="shared" si="28"/>
        <v>-1</v>
      </c>
      <c r="N64" s="775"/>
      <c r="O64" s="548">
        <v>152471</v>
      </c>
      <c r="P64" s="548"/>
      <c r="Q64" s="550">
        <f t="shared" si="29"/>
        <v>-152471</v>
      </c>
      <c r="R64" s="551">
        <f t="shared" si="30"/>
        <v>-1</v>
      </c>
      <c r="S64" s="765"/>
      <c r="T64" s="549">
        <v>84754</v>
      </c>
      <c r="U64" s="548"/>
      <c r="V64" s="550">
        <f t="shared" si="31"/>
        <v>-84754</v>
      </c>
      <c r="W64" s="551">
        <f t="shared" si="32"/>
        <v>-1</v>
      </c>
      <c r="X64" s="767"/>
      <c r="Y64" s="554"/>
      <c r="Z64" s="554"/>
    </row>
    <row r="65" spans="1:31" ht="31.5" x14ac:dyDescent="0.2">
      <c r="A65" s="546">
        <v>5150</v>
      </c>
      <c r="B65" s="547" t="s">
        <v>323</v>
      </c>
      <c r="C65" s="548"/>
      <c r="D65" s="549"/>
      <c r="E65" s="548"/>
      <c r="F65" s="548"/>
      <c r="G65" s="550">
        <f t="shared" si="25"/>
        <v>0</v>
      </c>
      <c r="H65" s="551" t="str">
        <f t="shared" si="26"/>
        <v>-</v>
      </c>
      <c r="I65" s="785"/>
      <c r="J65" s="548"/>
      <c r="K65" s="549"/>
      <c r="L65" s="550">
        <f t="shared" si="27"/>
        <v>0</v>
      </c>
      <c r="M65" s="551" t="str">
        <f t="shared" si="28"/>
        <v>-</v>
      </c>
      <c r="N65" s="775"/>
      <c r="O65" s="548"/>
      <c r="P65" s="548"/>
      <c r="Q65" s="550">
        <f t="shared" si="29"/>
        <v>0</v>
      </c>
      <c r="R65" s="551" t="str">
        <f t="shared" si="30"/>
        <v>-</v>
      </c>
      <c r="S65" s="765"/>
      <c r="T65" s="548"/>
      <c r="U65" s="548"/>
      <c r="V65" s="550">
        <f t="shared" si="31"/>
        <v>0</v>
      </c>
      <c r="W65" s="551" t="str">
        <f t="shared" si="32"/>
        <v>-</v>
      </c>
      <c r="X65" s="767"/>
      <c r="Y65" s="554"/>
      <c r="Z65" s="554"/>
    </row>
    <row r="66" spans="1:31" x14ac:dyDescent="0.2">
      <c r="A66" s="546">
        <v>5160</v>
      </c>
      <c r="B66" s="547" t="s">
        <v>324</v>
      </c>
      <c r="C66" s="548"/>
      <c r="D66" s="549"/>
      <c r="E66" s="548"/>
      <c r="F66" s="548"/>
      <c r="G66" s="550">
        <f t="shared" si="25"/>
        <v>0</v>
      </c>
      <c r="H66" s="551" t="str">
        <f t="shared" si="26"/>
        <v>-</v>
      </c>
      <c r="I66" s="785"/>
      <c r="J66" s="548"/>
      <c r="K66" s="549"/>
      <c r="L66" s="550">
        <f t="shared" si="27"/>
        <v>0</v>
      </c>
      <c r="M66" s="551" t="str">
        <f t="shared" si="28"/>
        <v>-</v>
      </c>
      <c r="N66" s="775"/>
      <c r="O66" s="548"/>
      <c r="P66" s="548"/>
      <c r="Q66" s="550">
        <f t="shared" si="29"/>
        <v>0</v>
      </c>
      <c r="R66" s="551" t="str">
        <f t="shared" si="30"/>
        <v>-</v>
      </c>
      <c r="S66" s="765"/>
      <c r="T66" s="548"/>
      <c r="U66" s="548"/>
      <c r="V66" s="550">
        <f t="shared" si="31"/>
        <v>0</v>
      </c>
      <c r="W66" s="551" t="str">
        <f t="shared" si="32"/>
        <v>-</v>
      </c>
      <c r="X66" s="767"/>
      <c r="Y66" s="554"/>
      <c r="Z66" s="554"/>
    </row>
    <row r="67" spans="1:31" x14ac:dyDescent="0.2">
      <c r="A67" s="546">
        <v>5170</v>
      </c>
      <c r="B67" s="547" t="s">
        <v>325</v>
      </c>
      <c r="C67" s="548">
        <v>6853855</v>
      </c>
      <c r="D67" s="549">
        <v>9448407</v>
      </c>
      <c r="E67" s="548">
        <f>6853855+210881+720464</f>
        <v>7785200</v>
      </c>
      <c r="F67" s="548"/>
      <c r="G67" s="550">
        <f t="shared" si="25"/>
        <v>-7785200</v>
      </c>
      <c r="H67" s="551">
        <f t="shared" si="26"/>
        <v>-1</v>
      </c>
      <c r="I67" s="785"/>
      <c r="J67" s="548">
        <f>6853855+718674</f>
        <v>7572529</v>
      </c>
      <c r="K67" s="549"/>
      <c r="L67" s="550">
        <f t="shared" si="27"/>
        <v>-7572529</v>
      </c>
      <c r="M67" s="551">
        <f t="shared" si="28"/>
        <v>-1</v>
      </c>
      <c r="N67" s="775"/>
      <c r="O67" s="548">
        <v>9500000</v>
      </c>
      <c r="P67" s="548"/>
      <c r="Q67" s="550">
        <f t="shared" si="29"/>
        <v>-9500000</v>
      </c>
      <c r="R67" s="551">
        <f t="shared" si="30"/>
        <v>-1</v>
      </c>
      <c r="S67" s="765"/>
      <c r="T67" s="548">
        <f>6348855+3099552</f>
        <v>9448407</v>
      </c>
      <c r="U67" s="548"/>
      <c r="V67" s="550">
        <f t="shared" si="31"/>
        <v>-9448407</v>
      </c>
      <c r="W67" s="551">
        <f t="shared" si="32"/>
        <v>-1</v>
      </c>
      <c r="X67" s="767"/>
      <c r="Y67" s="554"/>
      <c r="Z67" s="554"/>
    </row>
    <row r="68" spans="1:31" x14ac:dyDescent="0.2">
      <c r="A68" s="546">
        <v>5180</v>
      </c>
      <c r="B68" s="547" t="s">
        <v>326</v>
      </c>
      <c r="C68" s="548"/>
      <c r="D68" s="549"/>
      <c r="E68" s="548"/>
      <c r="F68" s="548"/>
      <c r="G68" s="550">
        <f t="shared" si="25"/>
        <v>0</v>
      </c>
      <c r="H68" s="551" t="str">
        <f t="shared" si="26"/>
        <v>-</v>
      </c>
      <c r="I68" s="785"/>
      <c r="J68" s="548"/>
      <c r="K68" s="549"/>
      <c r="L68" s="550">
        <f t="shared" si="27"/>
        <v>0</v>
      </c>
      <c r="M68" s="551" t="str">
        <f t="shared" si="28"/>
        <v>-</v>
      </c>
      <c r="N68" s="775"/>
      <c r="O68" s="548"/>
      <c r="P68" s="548"/>
      <c r="Q68" s="550">
        <f t="shared" si="29"/>
        <v>0</v>
      </c>
      <c r="R68" s="551" t="str">
        <f t="shared" si="30"/>
        <v>-</v>
      </c>
      <c r="S68" s="765"/>
      <c r="T68" s="548"/>
      <c r="U68" s="548"/>
      <c r="V68" s="550">
        <f t="shared" si="31"/>
        <v>0</v>
      </c>
      <c r="W68" s="551" t="str">
        <f t="shared" si="32"/>
        <v>-</v>
      </c>
      <c r="X68" s="767"/>
      <c r="Y68" s="554"/>
      <c r="Z68" s="554"/>
    </row>
    <row r="69" spans="1:31" x14ac:dyDescent="0.2">
      <c r="A69" s="265">
        <v>5190</v>
      </c>
      <c r="B69" s="35" t="s">
        <v>327</v>
      </c>
      <c r="C69" s="548"/>
      <c r="D69" s="549"/>
      <c r="E69" s="548"/>
      <c r="F69" s="548"/>
      <c r="G69" s="550">
        <f t="shared" si="25"/>
        <v>0</v>
      </c>
      <c r="H69" s="551" t="str">
        <f t="shared" si="26"/>
        <v>-</v>
      </c>
      <c r="I69" s="786"/>
      <c r="J69" s="548"/>
      <c r="K69" s="549"/>
      <c r="L69" s="550">
        <f t="shared" si="27"/>
        <v>0</v>
      </c>
      <c r="M69" s="551" t="str">
        <f t="shared" si="28"/>
        <v>-</v>
      </c>
      <c r="N69" s="776"/>
      <c r="O69" s="548"/>
      <c r="P69" s="548"/>
      <c r="Q69" s="550">
        <f t="shared" si="29"/>
        <v>0</v>
      </c>
      <c r="R69" s="551" t="str">
        <f t="shared" si="30"/>
        <v>-</v>
      </c>
      <c r="S69" s="777"/>
      <c r="T69" s="548"/>
      <c r="U69" s="548"/>
      <c r="V69" s="550">
        <f t="shared" si="31"/>
        <v>0</v>
      </c>
      <c r="W69" s="551" t="str">
        <f t="shared" si="32"/>
        <v>-</v>
      </c>
      <c r="X69" s="768"/>
      <c r="Y69" s="554"/>
      <c r="Z69" s="554"/>
    </row>
    <row r="70" spans="1:31" s="32" customFormat="1" x14ac:dyDescent="0.2">
      <c r="A70" s="34">
        <v>5200</v>
      </c>
      <c r="B70" s="44" t="s">
        <v>328</v>
      </c>
      <c r="C70" s="458">
        <f>SUM(C71:C79)</f>
        <v>5777466</v>
      </c>
      <c r="D70" s="458">
        <f>SUM(D71:D79)</f>
        <v>5373231</v>
      </c>
      <c r="E70" s="458">
        <f>SUM(E71:E79)</f>
        <v>4312974</v>
      </c>
      <c r="F70" s="458">
        <f>SUM(F71:F79)</f>
        <v>0</v>
      </c>
      <c r="G70" s="640">
        <f t="shared" si="25"/>
        <v>-4312974</v>
      </c>
      <c r="H70" s="641">
        <f t="shared" si="26"/>
        <v>-1</v>
      </c>
      <c r="I70" s="787"/>
      <c r="J70" s="458">
        <f>SUM(J71:J79)</f>
        <v>4549349</v>
      </c>
      <c r="K70" s="458">
        <f>SUM(K71:K79)</f>
        <v>0</v>
      </c>
      <c r="L70" s="640">
        <f t="shared" si="27"/>
        <v>-4549349</v>
      </c>
      <c r="M70" s="641">
        <f t="shared" si="28"/>
        <v>-1</v>
      </c>
      <c r="N70" s="761"/>
      <c r="O70" s="458">
        <f>SUM(O71:O79)</f>
        <v>4597800</v>
      </c>
      <c r="P70" s="458">
        <f>SUM(P71:P79)</f>
        <v>0</v>
      </c>
      <c r="Q70" s="640">
        <f t="shared" si="29"/>
        <v>-4597800</v>
      </c>
      <c r="R70" s="641">
        <f t="shared" si="30"/>
        <v>-1</v>
      </c>
      <c r="S70" s="761"/>
      <c r="T70" s="458">
        <f>SUM(T71:T79)</f>
        <v>5373231</v>
      </c>
      <c r="U70" s="458">
        <f>SUM(U71:U79)</f>
        <v>0</v>
      </c>
      <c r="V70" s="640">
        <f t="shared" si="31"/>
        <v>-5373231</v>
      </c>
      <c r="W70" s="641">
        <f t="shared" si="32"/>
        <v>-1</v>
      </c>
      <c r="X70" s="766"/>
      <c r="Y70" s="630"/>
      <c r="Z70" s="630"/>
    </row>
    <row r="71" spans="1:31" x14ac:dyDescent="0.2">
      <c r="A71" s="265">
        <v>5210</v>
      </c>
      <c r="B71" s="35" t="s">
        <v>319</v>
      </c>
      <c r="C71" s="549"/>
      <c r="D71" s="549"/>
      <c r="E71" s="549"/>
      <c r="F71" s="549"/>
      <c r="G71" s="552">
        <f t="shared" si="25"/>
        <v>0</v>
      </c>
      <c r="H71" s="553" t="str">
        <f t="shared" si="26"/>
        <v>-</v>
      </c>
      <c r="I71" s="772"/>
      <c r="J71" s="549"/>
      <c r="K71" s="549"/>
      <c r="L71" s="552">
        <f t="shared" si="27"/>
        <v>0</v>
      </c>
      <c r="M71" s="553" t="str">
        <f t="shared" si="28"/>
        <v>-</v>
      </c>
      <c r="N71" s="789"/>
      <c r="O71" s="549"/>
      <c r="P71" s="549"/>
      <c r="Q71" s="552">
        <f t="shared" si="29"/>
        <v>0</v>
      </c>
      <c r="R71" s="553" t="str">
        <f t="shared" si="30"/>
        <v>-</v>
      </c>
      <c r="S71" s="762"/>
      <c r="T71" s="549"/>
      <c r="U71" s="549"/>
      <c r="V71" s="552">
        <f t="shared" si="31"/>
        <v>0</v>
      </c>
      <c r="W71" s="553" t="str">
        <f t="shared" si="32"/>
        <v>-</v>
      </c>
      <c r="X71" s="769"/>
      <c r="Y71" s="554"/>
      <c r="Z71" s="554"/>
    </row>
    <row r="72" spans="1:31" x14ac:dyDescent="0.2">
      <c r="A72" s="265">
        <v>5220</v>
      </c>
      <c r="B72" s="547" t="s">
        <v>320</v>
      </c>
      <c r="C72" s="549"/>
      <c r="D72" s="549"/>
      <c r="E72" s="549"/>
      <c r="F72" s="549"/>
      <c r="G72" s="552">
        <f t="shared" si="25"/>
        <v>0</v>
      </c>
      <c r="H72" s="553" t="str">
        <f t="shared" si="26"/>
        <v>-</v>
      </c>
      <c r="I72" s="772"/>
      <c r="J72" s="549"/>
      <c r="K72" s="549"/>
      <c r="L72" s="552">
        <f t="shared" si="27"/>
        <v>0</v>
      </c>
      <c r="M72" s="553" t="str">
        <f t="shared" si="28"/>
        <v>-</v>
      </c>
      <c r="N72" s="789"/>
      <c r="O72" s="549"/>
      <c r="P72" s="549"/>
      <c r="Q72" s="552">
        <f t="shared" si="29"/>
        <v>0</v>
      </c>
      <c r="R72" s="553" t="str">
        <f t="shared" si="30"/>
        <v>-</v>
      </c>
      <c r="S72" s="762"/>
      <c r="T72" s="549"/>
      <c r="U72" s="549"/>
      <c r="V72" s="552">
        <f t="shared" si="31"/>
        <v>0</v>
      </c>
      <c r="W72" s="553" t="str">
        <f t="shared" si="32"/>
        <v>-</v>
      </c>
      <c r="X72" s="769"/>
      <c r="Y72" s="554"/>
      <c r="Z72" s="554"/>
    </row>
    <row r="73" spans="1:31" x14ac:dyDescent="0.2">
      <c r="A73" s="265">
        <v>5230</v>
      </c>
      <c r="B73" s="547" t="s">
        <v>321</v>
      </c>
      <c r="C73" s="549">
        <v>660321</v>
      </c>
      <c r="D73" s="549">
        <v>35000</v>
      </c>
      <c r="E73" s="549">
        <v>40242</v>
      </c>
      <c r="F73" s="549"/>
      <c r="G73" s="552">
        <f t="shared" si="25"/>
        <v>-40242</v>
      </c>
      <c r="H73" s="553">
        <f t="shared" si="26"/>
        <v>-1</v>
      </c>
      <c r="I73" s="772"/>
      <c r="J73" s="549">
        <v>40000</v>
      </c>
      <c r="K73" s="549"/>
      <c r="L73" s="552">
        <f t="shared" si="27"/>
        <v>-40000</v>
      </c>
      <c r="M73" s="553">
        <f t="shared" si="28"/>
        <v>-1</v>
      </c>
      <c r="N73" s="789"/>
      <c r="O73" s="549">
        <v>40000</v>
      </c>
      <c r="P73" s="549"/>
      <c r="Q73" s="552">
        <f t="shared" si="29"/>
        <v>-40000</v>
      </c>
      <c r="R73" s="553">
        <f t="shared" si="30"/>
        <v>-1</v>
      </c>
      <c r="S73" s="762"/>
      <c r="T73" s="549">
        <v>35000</v>
      </c>
      <c r="U73" s="549"/>
      <c r="V73" s="552">
        <f t="shared" si="31"/>
        <v>-35000</v>
      </c>
      <c r="W73" s="553">
        <f t="shared" si="32"/>
        <v>-1</v>
      </c>
      <c r="X73" s="769"/>
      <c r="Y73" s="554"/>
      <c r="Z73" s="554"/>
    </row>
    <row r="74" spans="1:31" x14ac:dyDescent="0.2">
      <c r="A74" s="265">
        <v>5240</v>
      </c>
      <c r="B74" s="547" t="s">
        <v>322</v>
      </c>
      <c r="C74" s="549">
        <v>2097264</v>
      </c>
      <c r="D74" s="549">
        <v>1900000</v>
      </c>
      <c r="E74" s="549">
        <f>1600000-175844</f>
        <v>1424156</v>
      </c>
      <c r="F74" s="549"/>
      <c r="G74" s="552">
        <f t="shared" si="25"/>
        <v>-1424156</v>
      </c>
      <c r="H74" s="553">
        <f t="shared" si="26"/>
        <v>-1</v>
      </c>
      <c r="I74" s="772"/>
      <c r="J74" s="549">
        <f>2000000-243839</f>
        <v>1756161</v>
      </c>
      <c r="K74" s="549"/>
      <c r="L74" s="552">
        <f t="shared" si="27"/>
        <v>-1756161</v>
      </c>
      <c r="M74" s="553">
        <f t="shared" si="28"/>
        <v>-1</v>
      </c>
      <c r="N74" s="789"/>
      <c r="O74" s="549">
        <v>1900000</v>
      </c>
      <c r="P74" s="549"/>
      <c r="Q74" s="552">
        <f t="shared" si="29"/>
        <v>-1900000</v>
      </c>
      <c r="R74" s="553">
        <f t="shared" si="30"/>
        <v>-1</v>
      </c>
      <c r="S74" s="762"/>
      <c r="T74" s="549">
        <v>1900000</v>
      </c>
      <c r="U74" s="549"/>
      <c r="V74" s="552">
        <f t="shared" si="31"/>
        <v>-1900000</v>
      </c>
      <c r="W74" s="553">
        <f t="shared" si="32"/>
        <v>-1</v>
      </c>
      <c r="X74" s="769"/>
      <c r="Y74" s="554"/>
      <c r="Z74" s="554"/>
    </row>
    <row r="75" spans="1:31" ht="31.5" x14ac:dyDescent="0.2">
      <c r="A75" s="265">
        <v>5250</v>
      </c>
      <c r="B75" s="547" t="s">
        <v>323</v>
      </c>
      <c r="C75" s="549">
        <v>716701</v>
      </c>
      <c r="D75" s="549">
        <v>902401</v>
      </c>
      <c r="E75" s="549">
        <v>747200</v>
      </c>
      <c r="F75" s="549"/>
      <c r="G75" s="552">
        <f t="shared" si="25"/>
        <v>-747200</v>
      </c>
      <c r="H75" s="553">
        <f t="shared" si="26"/>
        <v>-1</v>
      </c>
      <c r="I75" s="772"/>
      <c r="J75" s="549">
        <v>777700</v>
      </c>
      <c r="K75" s="549"/>
      <c r="L75" s="552">
        <f t="shared" si="27"/>
        <v>-777700</v>
      </c>
      <c r="M75" s="553">
        <f t="shared" si="28"/>
        <v>-1</v>
      </c>
      <c r="N75" s="789"/>
      <c r="O75" s="549">
        <v>808200</v>
      </c>
      <c r="P75" s="549"/>
      <c r="Q75" s="552">
        <f t="shared" si="29"/>
        <v>-808200</v>
      </c>
      <c r="R75" s="553">
        <f t="shared" si="30"/>
        <v>-1</v>
      </c>
      <c r="S75" s="762"/>
      <c r="T75" s="549">
        <f>839700+62701</f>
        <v>902401</v>
      </c>
      <c r="U75" s="549"/>
      <c r="V75" s="552">
        <f t="shared" si="31"/>
        <v>-902401</v>
      </c>
      <c r="W75" s="553">
        <f t="shared" si="32"/>
        <v>-1</v>
      </c>
      <c r="X75" s="769"/>
      <c r="Y75" s="554"/>
      <c r="Z75" s="554"/>
    </row>
    <row r="76" spans="1:31" x14ac:dyDescent="0.2">
      <c r="A76" s="265">
        <v>5260</v>
      </c>
      <c r="B76" s="547" t="s">
        <v>324</v>
      </c>
      <c r="C76" s="549">
        <v>873722</v>
      </c>
      <c r="D76" s="549">
        <v>830000</v>
      </c>
      <c r="E76" s="549">
        <v>828000</v>
      </c>
      <c r="F76" s="549"/>
      <c r="G76" s="552">
        <f t="shared" si="25"/>
        <v>-828000</v>
      </c>
      <c r="H76" s="553">
        <f t="shared" si="26"/>
        <v>-1</v>
      </c>
      <c r="I76" s="772"/>
      <c r="J76" s="549">
        <v>828000</v>
      </c>
      <c r="K76" s="549"/>
      <c r="L76" s="552">
        <f t="shared" si="27"/>
        <v>-828000</v>
      </c>
      <c r="M76" s="553">
        <f t="shared" si="28"/>
        <v>-1</v>
      </c>
      <c r="N76" s="789"/>
      <c r="O76" s="549">
        <v>828000</v>
      </c>
      <c r="P76" s="549"/>
      <c r="Q76" s="552">
        <f t="shared" si="29"/>
        <v>-828000</v>
      </c>
      <c r="R76" s="553">
        <f t="shared" si="30"/>
        <v>-1</v>
      </c>
      <c r="S76" s="762"/>
      <c r="T76" s="549">
        <v>830000</v>
      </c>
      <c r="U76" s="549"/>
      <c r="V76" s="552">
        <f t="shared" si="31"/>
        <v>-830000</v>
      </c>
      <c r="W76" s="553">
        <f t="shared" si="32"/>
        <v>-1</v>
      </c>
      <c r="X76" s="769"/>
      <c r="Y76" s="554"/>
      <c r="Z76" s="554"/>
    </row>
    <row r="77" spans="1:31" x14ac:dyDescent="0.2">
      <c r="A77" s="265">
        <v>5270</v>
      </c>
      <c r="B77" s="547" t="s">
        <v>325</v>
      </c>
      <c r="C77" s="549">
        <v>503554</v>
      </c>
      <c r="D77" s="549">
        <v>655000</v>
      </c>
      <c r="E77" s="549">
        <v>377666</v>
      </c>
      <c r="F77" s="549"/>
      <c r="G77" s="552">
        <f t="shared" si="25"/>
        <v>-377666</v>
      </c>
      <c r="H77" s="553">
        <f t="shared" si="26"/>
        <v>-1</v>
      </c>
      <c r="I77" s="772"/>
      <c r="J77" s="549">
        <v>251778</v>
      </c>
      <c r="K77" s="549"/>
      <c r="L77" s="552">
        <f t="shared" si="27"/>
        <v>-251778</v>
      </c>
      <c r="M77" s="553">
        <f t="shared" si="28"/>
        <v>-1</v>
      </c>
      <c r="N77" s="789"/>
      <c r="O77" s="549">
        <v>125890</v>
      </c>
      <c r="P77" s="549"/>
      <c r="Q77" s="552">
        <f t="shared" si="29"/>
        <v>-125890</v>
      </c>
      <c r="R77" s="553">
        <f t="shared" si="30"/>
        <v>-1</v>
      </c>
      <c r="S77" s="762"/>
      <c r="T77" s="549">
        <f>505000+150000</f>
        <v>655000</v>
      </c>
      <c r="U77" s="549"/>
      <c r="V77" s="552">
        <f t="shared" si="31"/>
        <v>-655000</v>
      </c>
      <c r="W77" s="553">
        <f t="shared" si="32"/>
        <v>-1</v>
      </c>
      <c r="X77" s="769"/>
      <c r="Y77" s="554"/>
      <c r="Z77" s="554"/>
    </row>
    <row r="78" spans="1:31" x14ac:dyDescent="0.2">
      <c r="A78" s="265">
        <v>5280</v>
      </c>
      <c r="B78" s="35" t="s">
        <v>326</v>
      </c>
      <c r="C78" s="549">
        <v>925904</v>
      </c>
      <c r="D78" s="549">
        <v>1050830</v>
      </c>
      <c r="E78" s="549">
        <v>895710</v>
      </c>
      <c r="F78" s="549"/>
      <c r="G78" s="552">
        <f t="shared" si="25"/>
        <v>-895710</v>
      </c>
      <c r="H78" s="553">
        <f t="shared" si="26"/>
        <v>-1</v>
      </c>
      <c r="I78" s="772"/>
      <c r="J78" s="549">
        <v>895710</v>
      </c>
      <c r="K78" s="549"/>
      <c r="L78" s="552">
        <f t="shared" si="27"/>
        <v>-895710</v>
      </c>
      <c r="M78" s="553">
        <f t="shared" si="28"/>
        <v>-1</v>
      </c>
      <c r="N78" s="789"/>
      <c r="O78" s="549">
        <v>895710</v>
      </c>
      <c r="P78" s="549"/>
      <c r="Q78" s="552">
        <f t="shared" si="29"/>
        <v>-895710</v>
      </c>
      <c r="R78" s="553">
        <f t="shared" si="30"/>
        <v>-1</v>
      </c>
      <c r="S78" s="762"/>
      <c r="T78" s="549">
        <v>1050830</v>
      </c>
      <c r="U78" s="549"/>
      <c r="V78" s="552">
        <f t="shared" si="31"/>
        <v>-1050830</v>
      </c>
      <c r="W78" s="553">
        <f t="shared" si="32"/>
        <v>-1</v>
      </c>
      <c r="X78" s="769"/>
      <c r="Y78" s="554"/>
      <c r="Z78" s="554"/>
    </row>
    <row r="79" spans="1:31" ht="40.5" customHeight="1" x14ac:dyDescent="0.2">
      <c r="A79" s="265">
        <v>5290</v>
      </c>
      <c r="B79" s="35" t="s">
        <v>327</v>
      </c>
      <c r="C79" s="549"/>
      <c r="D79" s="549"/>
      <c r="E79" s="549"/>
      <c r="F79" s="549"/>
      <c r="G79" s="552">
        <f t="shared" si="25"/>
        <v>0</v>
      </c>
      <c r="H79" s="553" t="str">
        <f t="shared" si="26"/>
        <v>-</v>
      </c>
      <c r="I79" s="773"/>
      <c r="J79" s="549"/>
      <c r="K79" s="549"/>
      <c r="L79" s="552">
        <f t="shared" si="27"/>
        <v>0</v>
      </c>
      <c r="M79" s="553" t="str">
        <f t="shared" si="28"/>
        <v>-</v>
      </c>
      <c r="N79" s="790"/>
      <c r="O79" s="549"/>
      <c r="P79" s="549"/>
      <c r="Q79" s="552">
        <f t="shared" si="29"/>
        <v>0</v>
      </c>
      <c r="R79" s="553" t="str">
        <f t="shared" si="30"/>
        <v>-</v>
      </c>
      <c r="S79" s="763"/>
      <c r="T79" s="549"/>
      <c r="U79" s="549"/>
      <c r="V79" s="552">
        <f t="shared" si="31"/>
        <v>0</v>
      </c>
      <c r="W79" s="553" t="str">
        <f t="shared" si="32"/>
        <v>-</v>
      </c>
      <c r="X79" s="770"/>
      <c r="Y79" s="554"/>
      <c r="Z79" s="554"/>
    </row>
    <row r="80" spans="1:31" s="32" customFormat="1" x14ac:dyDescent="0.2">
      <c r="A80" s="622"/>
      <c r="B80" s="623" t="s">
        <v>329</v>
      </c>
      <c r="C80" s="625">
        <f>C59+C58+C49</f>
        <v>18366669</v>
      </c>
      <c r="D80" s="625">
        <f>D59+D58+D49</f>
        <v>19190217</v>
      </c>
      <c r="E80" s="625">
        <f>E59+E58+E49</f>
        <v>17980324</v>
      </c>
      <c r="F80" s="625">
        <f>F59+F58+F49</f>
        <v>0</v>
      </c>
      <c r="G80" s="632">
        <f t="shared" si="25"/>
        <v>-17980324</v>
      </c>
      <c r="H80" s="633">
        <f t="shared" si="26"/>
        <v>-1</v>
      </c>
      <c r="I80" s="634"/>
      <c r="J80" s="625">
        <f>J59+J58+J49</f>
        <v>17641949</v>
      </c>
      <c r="K80" s="625">
        <f>K59+K58+K49</f>
        <v>0</v>
      </c>
      <c r="L80" s="632">
        <f t="shared" si="27"/>
        <v>-17641949</v>
      </c>
      <c r="M80" s="633">
        <f t="shared" si="28"/>
        <v>-1</v>
      </c>
      <c r="N80" s="634"/>
      <c r="O80" s="625">
        <f>O59+O58+O49</f>
        <v>19286694</v>
      </c>
      <c r="P80" s="625">
        <f>P59+P58+P49</f>
        <v>0</v>
      </c>
      <c r="Q80" s="632">
        <f t="shared" si="29"/>
        <v>-19286694</v>
      </c>
      <c r="R80" s="633">
        <f t="shared" si="30"/>
        <v>-1</v>
      </c>
      <c r="S80" s="634"/>
      <c r="T80" s="625">
        <f>T59+T58+T49</f>
        <v>19190217</v>
      </c>
      <c r="U80" s="672">
        <f>U59+U58+U49</f>
        <v>0</v>
      </c>
      <c r="V80" s="673">
        <f t="shared" si="31"/>
        <v>-19190217</v>
      </c>
      <c r="W80" s="674">
        <f t="shared" si="32"/>
        <v>-1</v>
      </c>
      <c r="X80" s="675"/>
      <c r="Y80" s="630"/>
      <c r="Z80" s="699">
        <f>E47-E80</f>
        <v>0</v>
      </c>
      <c r="AA80" s="162">
        <f>J47-J80</f>
        <v>0</v>
      </c>
      <c r="AB80" s="162">
        <f>O47-O80</f>
        <v>0</v>
      </c>
      <c r="AC80" s="162">
        <f>T47-T80</f>
        <v>0</v>
      </c>
      <c r="AE80" s="162">
        <f>D47-D80</f>
        <v>0</v>
      </c>
    </row>
    <row r="81" spans="1:26" x14ac:dyDescent="0.2">
      <c r="A81" s="781"/>
      <c r="B81" s="782"/>
      <c r="C81" s="783"/>
      <c r="D81" s="783"/>
      <c r="E81" s="783"/>
      <c r="F81" s="783"/>
      <c r="G81" s="783"/>
      <c r="H81" s="783"/>
      <c r="I81" s="783"/>
      <c r="J81" s="554"/>
      <c r="K81" s="554"/>
      <c r="L81" s="554"/>
      <c r="M81" s="554"/>
      <c r="N81" s="554"/>
      <c r="O81" s="554"/>
      <c r="P81" s="554"/>
      <c r="Q81" s="554"/>
      <c r="R81" s="554"/>
      <c r="S81" s="554"/>
      <c r="T81" s="554"/>
      <c r="U81" s="554"/>
      <c r="V81" s="554"/>
      <c r="W81" s="554"/>
      <c r="X81" s="554"/>
      <c r="Y81" s="554"/>
      <c r="Z81" s="554"/>
    </row>
    <row r="82" spans="1:26" s="32" customFormat="1" x14ac:dyDescent="0.2">
      <c r="A82" s="622" t="s">
        <v>330</v>
      </c>
      <c r="B82" s="623" t="s">
        <v>331</v>
      </c>
      <c r="C82" s="625">
        <f>SUM(C83:C84)</f>
        <v>12868546</v>
      </c>
      <c r="D82" s="625">
        <f t="shared" ref="D82:F82" si="42">SUM(D83:D84)</f>
        <v>14906392</v>
      </c>
      <c r="E82" s="625">
        <f t="shared" si="42"/>
        <v>12335399</v>
      </c>
      <c r="F82" s="625">
        <f t="shared" si="42"/>
        <v>0</v>
      </c>
      <c r="G82" s="632">
        <f t="shared" ref="G82:G84" si="43">F82-E82</f>
        <v>-12335399</v>
      </c>
      <c r="H82" s="633">
        <f t="shared" si="26"/>
        <v>-1</v>
      </c>
      <c r="I82" s="634"/>
      <c r="J82" s="625">
        <f t="shared" ref="J82:K82" si="44">SUM(J83:J84)</f>
        <v>12274349</v>
      </c>
      <c r="K82" s="625">
        <f t="shared" si="44"/>
        <v>0</v>
      </c>
      <c r="L82" s="632">
        <f t="shared" ref="L82:L84" si="45">K82-J82</f>
        <v>-12274349</v>
      </c>
      <c r="M82" s="633">
        <f t="shared" ref="M82:M84" si="46">IFERROR(L82/ABS(J82), "-")</f>
        <v>-1</v>
      </c>
      <c r="N82" s="635"/>
      <c r="O82" s="625">
        <f t="shared" ref="O82:P82" si="47">SUM(O83:O84)</f>
        <v>14250271</v>
      </c>
      <c r="P82" s="625">
        <f t="shared" si="47"/>
        <v>0</v>
      </c>
      <c r="Q82" s="632">
        <f t="shared" ref="Q82:Q84" si="48">P82-O82</f>
        <v>-14250271</v>
      </c>
      <c r="R82" s="633">
        <f t="shared" ref="R82:R84" si="49">IFERROR(Q82/ABS(O82), "-")</f>
        <v>-1</v>
      </c>
      <c r="S82" s="634"/>
      <c r="T82" s="625">
        <f t="shared" ref="T82:U82" si="50">SUM(T83:T84)</f>
        <v>14906392</v>
      </c>
      <c r="U82" s="636">
        <f t="shared" si="50"/>
        <v>0</v>
      </c>
      <c r="V82" s="637">
        <f t="shared" ref="V82:V84" si="51">U82-T82</f>
        <v>-14906392</v>
      </c>
      <c r="W82" s="638">
        <f t="shared" ref="W82:W84" si="52">IFERROR(V82/ABS(T82), "-")</f>
        <v>-1</v>
      </c>
      <c r="X82" s="639"/>
      <c r="Y82" s="630"/>
      <c r="Z82" s="630"/>
    </row>
    <row r="83" spans="1:26" s="32" customFormat="1" x14ac:dyDescent="0.2">
      <c r="A83" s="34">
        <v>5100</v>
      </c>
      <c r="B83" s="45" t="s">
        <v>332</v>
      </c>
      <c r="C83" s="458">
        <f>C60</f>
        <v>7091080</v>
      </c>
      <c r="D83" s="458">
        <f>D60</f>
        <v>9533161</v>
      </c>
      <c r="E83" s="458">
        <f>E60</f>
        <v>8022425</v>
      </c>
      <c r="F83" s="458">
        <f>F60</f>
        <v>0</v>
      </c>
      <c r="G83" s="640">
        <f t="shared" si="43"/>
        <v>-8022425</v>
      </c>
      <c r="H83" s="641">
        <f t="shared" si="26"/>
        <v>-1</v>
      </c>
      <c r="I83" s="700"/>
      <c r="J83" s="458">
        <f>J60</f>
        <v>7725000</v>
      </c>
      <c r="K83" s="458">
        <f>K60</f>
        <v>0</v>
      </c>
      <c r="L83" s="640">
        <f t="shared" si="45"/>
        <v>-7725000</v>
      </c>
      <c r="M83" s="641">
        <f t="shared" si="46"/>
        <v>-1</v>
      </c>
      <c r="N83" s="701"/>
      <c r="O83" s="458">
        <f>O60</f>
        <v>9652471</v>
      </c>
      <c r="P83" s="458">
        <f>P60</f>
        <v>0</v>
      </c>
      <c r="Q83" s="640">
        <f t="shared" si="48"/>
        <v>-9652471</v>
      </c>
      <c r="R83" s="641">
        <f t="shared" si="49"/>
        <v>-1</v>
      </c>
      <c r="S83" s="700"/>
      <c r="T83" s="458">
        <f>T60</f>
        <v>9533161</v>
      </c>
      <c r="U83" s="458">
        <f>U60</f>
        <v>0</v>
      </c>
      <c r="V83" s="640">
        <f t="shared" si="51"/>
        <v>-9533161</v>
      </c>
      <c r="W83" s="641">
        <f t="shared" si="52"/>
        <v>-1</v>
      </c>
      <c r="X83" s="700"/>
      <c r="Y83" s="630"/>
      <c r="Z83" s="630"/>
    </row>
    <row r="84" spans="1:26" s="32" customFormat="1" x14ac:dyDescent="0.2">
      <c r="A84" s="34">
        <v>5200</v>
      </c>
      <c r="B84" s="46" t="s">
        <v>333</v>
      </c>
      <c r="C84" s="458">
        <f>C70</f>
        <v>5777466</v>
      </c>
      <c r="D84" s="458">
        <f t="shared" ref="D84:F84" si="53">D70</f>
        <v>5373231</v>
      </c>
      <c r="E84" s="458">
        <f t="shared" si="53"/>
        <v>4312974</v>
      </c>
      <c r="F84" s="458">
        <f t="shared" si="53"/>
        <v>0</v>
      </c>
      <c r="G84" s="640">
        <f t="shared" si="43"/>
        <v>-4312974</v>
      </c>
      <c r="H84" s="641">
        <f t="shared" si="26"/>
        <v>-1</v>
      </c>
      <c r="I84" s="700"/>
      <c r="J84" s="458">
        <f t="shared" ref="J84:K84" si="54">J70</f>
        <v>4549349</v>
      </c>
      <c r="K84" s="458">
        <f t="shared" si="54"/>
        <v>0</v>
      </c>
      <c r="L84" s="640">
        <f t="shared" si="45"/>
        <v>-4549349</v>
      </c>
      <c r="M84" s="641">
        <f t="shared" si="46"/>
        <v>-1</v>
      </c>
      <c r="N84" s="701"/>
      <c r="O84" s="458">
        <f t="shared" ref="O84:P84" si="55">O70</f>
        <v>4597800</v>
      </c>
      <c r="P84" s="702">
        <f t="shared" si="55"/>
        <v>0</v>
      </c>
      <c r="Q84" s="640">
        <f t="shared" si="48"/>
        <v>-4597800</v>
      </c>
      <c r="R84" s="641">
        <f t="shared" si="49"/>
        <v>-1</v>
      </c>
      <c r="S84" s="700"/>
      <c r="T84" s="458">
        <f t="shared" ref="T84:U84" si="56">T70</f>
        <v>5373231</v>
      </c>
      <c r="U84" s="458">
        <f t="shared" si="56"/>
        <v>0</v>
      </c>
      <c r="V84" s="640">
        <f t="shared" si="51"/>
        <v>-5373231</v>
      </c>
      <c r="W84" s="641">
        <f t="shared" si="52"/>
        <v>-1</v>
      </c>
      <c r="X84" s="700"/>
      <c r="Y84" s="630"/>
      <c r="Z84" s="630"/>
    </row>
    <row r="85" spans="1:26" s="32" customFormat="1" x14ac:dyDescent="0.2">
      <c r="A85" s="41"/>
      <c r="B85" s="42"/>
      <c r="C85" s="703"/>
      <c r="D85" s="703"/>
      <c r="E85" s="703"/>
      <c r="F85" s="703"/>
      <c r="G85" s="704"/>
      <c r="H85" s="705"/>
      <c r="I85" s="706"/>
      <c r="J85" s="703"/>
      <c r="K85" s="703"/>
      <c r="L85" s="704"/>
      <c r="M85" s="705"/>
      <c r="N85" s="707"/>
      <c r="O85" s="703"/>
      <c r="P85" s="708"/>
      <c r="Q85" s="704"/>
      <c r="R85" s="705"/>
      <c r="S85" s="706"/>
      <c r="T85" s="703"/>
      <c r="U85" s="703"/>
      <c r="V85" s="704"/>
      <c r="W85" s="705"/>
      <c r="X85" s="706"/>
      <c r="Y85" s="630"/>
      <c r="Z85" s="630"/>
    </row>
    <row r="86" spans="1:26" x14ac:dyDescent="0.2">
      <c r="A86" s="754" t="s">
        <v>230</v>
      </c>
      <c r="B86" s="754"/>
      <c r="C86" s="554"/>
      <c r="D86" s="554"/>
      <c r="E86" s="554"/>
      <c r="F86" s="554"/>
      <c r="G86" s="709"/>
      <c r="H86" s="709"/>
      <c r="I86" s="554"/>
      <c r="J86" s="554"/>
      <c r="K86" s="554"/>
      <c r="L86" s="709"/>
      <c r="M86" s="709"/>
      <c r="N86" s="554"/>
      <c r="O86" s="554"/>
      <c r="P86" s="647"/>
      <c r="Q86" s="709"/>
      <c r="R86" s="709"/>
      <c r="S86" s="554"/>
      <c r="T86" s="554"/>
      <c r="U86" s="554"/>
      <c r="V86" s="709"/>
      <c r="W86" s="709"/>
      <c r="X86" s="554"/>
      <c r="Y86" s="554"/>
      <c r="Z86" s="554"/>
    </row>
    <row r="87" spans="1:26" ht="36.75" customHeight="1" x14ac:dyDescent="0.2">
      <c r="A87" s="778" t="s">
        <v>259</v>
      </c>
      <c r="B87" s="778"/>
      <c r="C87" s="779"/>
      <c r="D87" s="779"/>
      <c r="E87" s="779"/>
      <c r="F87" s="779"/>
      <c r="G87" s="779"/>
      <c r="H87" s="710"/>
      <c r="I87" s="710"/>
      <c r="J87" s="710"/>
      <c r="K87" s="710"/>
      <c r="L87" s="710"/>
      <c r="M87" s="710"/>
      <c r="N87" s="710"/>
      <c r="O87" s="710"/>
      <c r="P87" s="647"/>
      <c r="Q87" s="709"/>
      <c r="R87" s="709"/>
      <c r="S87" s="554"/>
      <c r="T87" s="554"/>
      <c r="U87" s="554"/>
      <c r="V87" s="709"/>
      <c r="W87" s="709"/>
      <c r="X87" s="554"/>
      <c r="Y87" s="554"/>
      <c r="Z87" s="554"/>
    </row>
    <row r="88" spans="1:26" x14ac:dyDescent="0.2">
      <c r="C88" s="554"/>
      <c r="D88" s="554"/>
      <c r="E88" s="554"/>
      <c r="F88" s="554"/>
      <c r="G88" s="709"/>
      <c r="H88" s="709"/>
      <c r="I88" s="554"/>
      <c r="J88" s="554"/>
      <c r="K88" s="554"/>
      <c r="L88" s="709"/>
      <c r="M88" s="709"/>
      <c r="N88" s="554"/>
      <c r="O88" s="554"/>
      <c r="P88" s="647"/>
      <c r="Q88" s="709"/>
      <c r="R88" s="709"/>
      <c r="S88" s="554"/>
      <c r="T88" s="554"/>
      <c r="U88" s="554"/>
      <c r="V88" s="709"/>
      <c r="W88" s="709"/>
      <c r="X88" s="554"/>
      <c r="Y88" s="554"/>
      <c r="Z88" s="554"/>
    </row>
    <row r="89" spans="1:26" x14ac:dyDescent="0.2">
      <c r="C89" s="554"/>
      <c r="D89" s="554"/>
      <c r="E89" s="554"/>
      <c r="F89" s="554"/>
      <c r="G89" s="709"/>
      <c r="H89" s="709"/>
      <c r="I89" s="554"/>
      <c r="J89" s="554"/>
      <c r="K89" s="554"/>
      <c r="L89" s="709"/>
      <c r="M89" s="709"/>
      <c r="N89" s="554"/>
      <c r="O89" s="554"/>
      <c r="P89" s="647"/>
      <c r="Q89" s="709"/>
      <c r="R89" s="709"/>
      <c r="S89" s="554"/>
      <c r="T89" s="554"/>
      <c r="U89" s="554"/>
      <c r="V89" s="709"/>
      <c r="W89" s="709"/>
      <c r="X89" s="554"/>
      <c r="Y89" s="554"/>
      <c r="Z89" s="554"/>
    </row>
    <row r="90" spans="1:26" x14ac:dyDescent="0.2">
      <c r="C90" s="554"/>
      <c r="D90" s="554"/>
      <c r="E90" s="554"/>
      <c r="F90" s="554"/>
      <c r="G90" s="709"/>
      <c r="H90" s="709"/>
      <c r="I90" s="554"/>
      <c r="J90" s="554"/>
      <c r="K90" s="554"/>
      <c r="L90" s="709"/>
      <c r="M90" s="709"/>
      <c r="N90" s="554"/>
      <c r="O90" s="554"/>
      <c r="P90" s="647"/>
      <c r="Q90" s="709"/>
      <c r="R90" s="709"/>
      <c r="S90" s="554"/>
      <c r="T90" s="554"/>
      <c r="U90" s="554"/>
      <c r="V90" s="709"/>
      <c r="W90" s="709"/>
      <c r="X90" s="554"/>
      <c r="Y90" s="554"/>
      <c r="Z90" s="554"/>
    </row>
    <row r="91" spans="1:26" x14ac:dyDescent="0.2">
      <c r="C91" s="554"/>
      <c r="D91" s="554"/>
      <c r="E91" s="554"/>
      <c r="F91" s="554"/>
      <c r="G91" s="709"/>
      <c r="H91" s="709"/>
      <c r="I91" s="554"/>
      <c r="J91" s="554"/>
      <c r="K91" s="554"/>
      <c r="L91" s="709"/>
      <c r="M91" s="709"/>
      <c r="N91" s="554"/>
      <c r="O91" s="554"/>
      <c r="P91" s="647"/>
      <c r="Q91" s="709"/>
      <c r="R91" s="709"/>
      <c r="S91" s="554"/>
      <c r="T91" s="554"/>
      <c r="U91" s="554"/>
      <c r="V91" s="709"/>
      <c r="W91" s="709"/>
      <c r="X91" s="554"/>
      <c r="Y91" s="554"/>
      <c r="Z91" s="554"/>
    </row>
    <row r="92" spans="1:26" x14ac:dyDescent="0.2">
      <c r="C92" s="554"/>
      <c r="D92" s="554"/>
      <c r="E92" s="554"/>
      <c r="F92" s="554"/>
      <c r="G92" s="709"/>
      <c r="H92" s="709"/>
      <c r="I92" s="554"/>
      <c r="J92" s="554"/>
      <c r="K92" s="554"/>
      <c r="L92" s="709"/>
      <c r="M92" s="709"/>
      <c r="N92" s="554"/>
      <c r="O92" s="554"/>
      <c r="P92" s="647"/>
      <c r="Q92" s="709"/>
      <c r="R92" s="709"/>
      <c r="S92" s="554"/>
      <c r="T92" s="554"/>
      <c r="U92" s="554"/>
      <c r="V92" s="709"/>
      <c r="W92" s="709"/>
      <c r="X92" s="554"/>
      <c r="Y92" s="554"/>
      <c r="Z92" s="554"/>
    </row>
    <row r="93" spans="1:26" x14ac:dyDescent="0.2">
      <c r="C93" s="554"/>
      <c r="D93" s="554"/>
      <c r="E93" s="554"/>
      <c r="F93" s="554"/>
      <c r="G93" s="709"/>
      <c r="H93" s="709"/>
      <c r="I93" s="554"/>
      <c r="J93" s="554"/>
      <c r="K93" s="554"/>
      <c r="L93" s="709"/>
      <c r="M93" s="709"/>
      <c r="N93" s="554"/>
      <c r="O93" s="554"/>
      <c r="P93" s="647"/>
      <c r="Q93" s="709"/>
      <c r="R93" s="709"/>
      <c r="S93" s="554"/>
      <c r="T93" s="554"/>
      <c r="U93" s="554"/>
      <c r="V93" s="709"/>
      <c r="W93" s="709"/>
      <c r="X93" s="554"/>
      <c r="Y93" s="554"/>
      <c r="Z93" s="554"/>
    </row>
    <row r="94" spans="1:26" x14ac:dyDescent="0.2">
      <c r="C94" s="554"/>
      <c r="D94" s="554"/>
      <c r="E94" s="554"/>
      <c r="F94" s="554"/>
      <c r="G94" s="709"/>
      <c r="H94" s="709"/>
      <c r="I94" s="554"/>
      <c r="J94" s="554"/>
      <c r="K94" s="554"/>
      <c r="L94" s="709"/>
      <c r="M94" s="709"/>
      <c r="N94" s="554"/>
      <c r="O94" s="554"/>
      <c r="P94" s="647"/>
      <c r="Q94" s="709"/>
      <c r="R94" s="709"/>
      <c r="S94" s="554"/>
      <c r="T94" s="554"/>
      <c r="U94" s="554"/>
      <c r="V94" s="709"/>
      <c r="W94" s="709"/>
      <c r="X94" s="554"/>
      <c r="Y94" s="554"/>
      <c r="Z94" s="554"/>
    </row>
    <row r="95" spans="1:26" x14ac:dyDescent="0.2">
      <c r="C95" s="554"/>
      <c r="D95" s="554"/>
      <c r="E95" s="554"/>
      <c r="F95" s="554"/>
      <c r="G95" s="709"/>
      <c r="H95" s="709"/>
      <c r="I95" s="554"/>
      <c r="J95" s="554"/>
      <c r="K95" s="554"/>
      <c r="L95" s="709"/>
      <c r="M95" s="709"/>
      <c r="N95" s="554"/>
      <c r="O95" s="554"/>
      <c r="P95" s="554"/>
      <c r="Q95" s="709"/>
      <c r="R95" s="709"/>
      <c r="S95" s="554"/>
      <c r="T95" s="554"/>
      <c r="U95" s="554"/>
      <c r="V95" s="709"/>
      <c r="W95" s="709"/>
      <c r="X95" s="554"/>
      <c r="Y95" s="554"/>
      <c r="Z95" s="554"/>
    </row>
    <row r="96" spans="1:26" x14ac:dyDescent="0.2">
      <c r="C96" s="554"/>
      <c r="D96" s="554"/>
      <c r="E96" s="554"/>
      <c r="F96" s="554"/>
      <c r="G96" s="709"/>
      <c r="H96" s="709"/>
      <c r="I96" s="554"/>
      <c r="J96" s="554"/>
      <c r="K96" s="554"/>
      <c r="L96" s="709"/>
      <c r="M96" s="709"/>
      <c r="N96" s="554"/>
      <c r="O96" s="554"/>
      <c r="P96" s="554"/>
      <c r="Q96" s="709"/>
      <c r="R96" s="709"/>
      <c r="S96" s="554"/>
      <c r="T96" s="554"/>
      <c r="U96" s="554"/>
      <c r="V96" s="709"/>
      <c r="W96" s="709"/>
      <c r="X96" s="554"/>
      <c r="Y96" s="554"/>
      <c r="Z96" s="554"/>
    </row>
    <row r="97" spans="3:26" x14ac:dyDescent="0.2">
      <c r="C97" s="554"/>
      <c r="D97" s="554"/>
      <c r="E97" s="554"/>
      <c r="F97" s="554"/>
      <c r="G97" s="709"/>
      <c r="H97" s="709"/>
      <c r="I97" s="554"/>
      <c r="J97" s="554"/>
      <c r="K97" s="554"/>
      <c r="L97" s="709"/>
      <c r="M97" s="709"/>
      <c r="N97" s="554"/>
      <c r="O97" s="554"/>
      <c r="P97" s="554"/>
      <c r="Q97" s="709"/>
      <c r="R97" s="709"/>
      <c r="S97" s="554"/>
      <c r="T97" s="554"/>
      <c r="U97" s="554"/>
      <c r="V97" s="709"/>
      <c r="W97" s="709"/>
      <c r="X97" s="554"/>
      <c r="Y97" s="554"/>
      <c r="Z97" s="554"/>
    </row>
    <row r="98" spans="3:26" x14ac:dyDescent="0.2">
      <c r="C98" s="554"/>
      <c r="D98" s="554"/>
      <c r="E98" s="554"/>
      <c r="F98" s="554"/>
      <c r="G98" s="709"/>
      <c r="H98" s="709"/>
      <c r="I98" s="554"/>
      <c r="J98" s="554"/>
      <c r="K98" s="554"/>
      <c r="L98" s="709"/>
      <c r="M98" s="709"/>
      <c r="N98" s="554"/>
      <c r="O98" s="554"/>
      <c r="P98" s="554"/>
      <c r="Q98" s="709"/>
      <c r="R98" s="709"/>
      <c r="S98" s="554"/>
      <c r="T98" s="554"/>
      <c r="U98" s="554"/>
      <c r="V98" s="709"/>
      <c r="W98" s="709"/>
      <c r="X98" s="554"/>
      <c r="Y98" s="554"/>
      <c r="Z98" s="554"/>
    </row>
    <row r="99" spans="3:26" x14ac:dyDescent="0.2">
      <c r="C99" s="554"/>
      <c r="D99" s="554"/>
      <c r="E99" s="554"/>
      <c r="F99" s="554"/>
      <c r="G99" s="709"/>
      <c r="H99" s="709"/>
      <c r="I99" s="554"/>
      <c r="J99" s="554"/>
      <c r="K99" s="554"/>
      <c r="L99" s="709"/>
      <c r="M99" s="709"/>
      <c r="N99" s="554"/>
      <c r="O99" s="554"/>
      <c r="P99" s="554"/>
      <c r="Q99" s="709"/>
      <c r="R99" s="709"/>
      <c r="S99" s="554"/>
      <c r="T99" s="554"/>
      <c r="U99" s="554"/>
      <c r="V99" s="709"/>
      <c r="W99" s="709"/>
      <c r="X99" s="554"/>
      <c r="Y99" s="554"/>
      <c r="Z99" s="554"/>
    </row>
    <row r="100" spans="3:26" x14ac:dyDescent="0.2">
      <c r="C100" s="554"/>
      <c r="D100" s="554"/>
      <c r="E100" s="554"/>
      <c r="F100" s="554"/>
      <c r="G100" s="709"/>
      <c r="H100" s="709"/>
      <c r="I100" s="554"/>
      <c r="J100" s="554"/>
      <c r="K100" s="554"/>
      <c r="L100" s="709"/>
      <c r="M100" s="709"/>
      <c r="N100" s="554"/>
      <c r="O100" s="554"/>
      <c r="P100" s="554"/>
      <c r="Q100" s="709"/>
      <c r="R100" s="709"/>
      <c r="S100" s="554"/>
      <c r="T100" s="554"/>
      <c r="U100" s="554"/>
      <c r="V100" s="709"/>
      <c r="W100" s="709"/>
      <c r="X100" s="554"/>
      <c r="Y100" s="554"/>
      <c r="Z100" s="554"/>
    </row>
    <row r="101" spans="3:26" x14ac:dyDescent="0.2">
      <c r="C101" s="554"/>
      <c r="D101" s="554"/>
      <c r="E101" s="554"/>
      <c r="F101" s="554"/>
      <c r="G101" s="709"/>
      <c r="H101" s="709"/>
      <c r="I101" s="554"/>
      <c r="J101" s="554"/>
      <c r="K101" s="554"/>
      <c r="L101" s="709"/>
      <c r="M101" s="709"/>
      <c r="N101" s="554"/>
      <c r="O101" s="554"/>
      <c r="P101" s="554"/>
      <c r="Q101" s="709"/>
      <c r="R101" s="709"/>
      <c r="S101" s="554"/>
      <c r="T101" s="554"/>
      <c r="U101" s="554"/>
      <c r="V101" s="709"/>
      <c r="W101" s="709"/>
      <c r="X101" s="554"/>
      <c r="Y101" s="554"/>
      <c r="Z101" s="554"/>
    </row>
    <row r="102" spans="3:26" x14ac:dyDescent="0.2">
      <c r="C102" s="554"/>
      <c r="D102" s="554"/>
      <c r="E102" s="554"/>
      <c r="F102" s="554"/>
      <c r="G102" s="709"/>
      <c r="H102" s="709"/>
      <c r="I102" s="554"/>
      <c r="J102" s="554"/>
      <c r="K102" s="554"/>
      <c r="L102" s="709"/>
      <c r="M102" s="709"/>
      <c r="N102" s="554"/>
      <c r="O102" s="554"/>
      <c r="P102" s="554"/>
      <c r="Q102" s="709"/>
      <c r="R102" s="709"/>
      <c r="S102" s="554"/>
      <c r="T102" s="554"/>
      <c r="U102" s="554"/>
      <c r="V102" s="709"/>
      <c r="W102" s="709"/>
      <c r="X102" s="554"/>
      <c r="Y102" s="554"/>
      <c r="Z102" s="554"/>
    </row>
    <row r="103" spans="3:26" x14ac:dyDescent="0.2">
      <c r="C103" s="554"/>
      <c r="D103" s="554"/>
      <c r="E103" s="554"/>
      <c r="F103" s="554"/>
      <c r="G103" s="709"/>
      <c r="H103" s="709"/>
      <c r="I103" s="554"/>
      <c r="J103" s="554"/>
      <c r="K103" s="554"/>
      <c r="L103" s="709"/>
      <c r="M103" s="709"/>
      <c r="N103" s="554"/>
      <c r="O103" s="554"/>
      <c r="P103" s="554"/>
      <c r="Q103" s="709"/>
      <c r="R103" s="709"/>
      <c r="S103" s="554"/>
      <c r="T103" s="554"/>
      <c r="U103" s="554"/>
      <c r="V103" s="709"/>
      <c r="W103" s="709"/>
      <c r="X103" s="554"/>
      <c r="Y103" s="554"/>
      <c r="Z103" s="554"/>
    </row>
    <row r="104" spans="3:26" x14ac:dyDescent="0.2">
      <c r="C104" s="554"/>
      <c r="D104" s="554"/>
      <c r="E104" s="554"/>
      <c r="F104" s="554"/>
      <c r="G104" s="709"/>
      <c r="H104" s="709"/>
      <c r="I104" s="554"/>
      <c r="J104" s="554"/>
      <c r="K104" s="554"/>
      <c r="L104" s="709"/>
      <c r="M104" s="709"/>
      <c r="N104" s="554"/>
      <c r="O104" s="554"/>
      <c r="P104" s="554"/>
      <c r="Q104" s="709"/>
      <c r="R104" s="709"/>
      <c r="S104" s="554"/>
      <c r="T104" s="554"/>
      <c r="U104" s="554"/>
      <c r="V104" s="709"/>
      <c r="W104" s="709"/>
      <c r="X104" s="554"/>
      <c r="Y104" s="554"/>
      <c r="Z104" s="554"/>
    </row>
    <row r="105" spans="3:26" x14ac:dyDescent="0.2">
      <c r="C105" s="554"/>
      <c r="D105" s="554"/>
      <c r="E105" s="554"/>
      <c r="F105" s="554"/>
      <c r="G105" s="709"/>
      <c r="H105" s="709"/>
      <c r="I105" s="554"/>
      <c r="J105" s="554"/>
      <c r="K105" s="554"/>
      <c r="L105" s="709"/>
      <c r="M105" s="709"/>
      <c r="N105" s="554"/>
      <c r="O105" s="554"/>
      <c r="P105" s="554"/>
      <c r="Q105" s="709"/>
      <c r="R105" s="709"/>
      <c r="S105" s="554"/>
      <c r="T105" s="554"/>
      <c r="U105" s="554"/>
      <c r="V105" s="709"/>
      <c r="W105" s="709"/>
      <c r="X105" s="554"/>
      <c r="Y105" s="554"/>
      <c r="Z105" s="554"/>
    </row>
    <row r="106" spans="3:26" x14ac:dyDescent="0.2">
      <c r="C106" s="554"/>
      <c r="D106" s="554"/>
      <c r="E106" s="554"/>
      <c r="F106" s="554"/>
      <c r="G106" s="709"/>
      <c r="H106" s="709"/>
      <c r="I106" s="554"/>
      <c r="J106" s="554"/>
      <c r="K106" s="554"/>
      <c r="L106" s="709"/>
      <c r="M106" s="709"/>
      <c r="N106" s="554"/>
      <c r="O106" s="554"/>
      <c r="P106" s="554"/>
      <c r="Q106" s="709"/>
      <c r="R106" s="709"/>
      <c r="S106" s="554"/>
      <c r="T106" s="554"/>
      <c r="U106" s="554"/>
      <c r="V106" s="709"/>
      <c r="W106" s="709"/>
      <c r="X106" s="554"/>
      <c r="Y106" s="554"/>
      <c r="Z106" s="554"/>
    </row>
    <row r="107" spans="3:26" x14ac:dyDescent="0.2">
      <c r="C107" s="554"/>
      <c r="D107" s="554"/>
      <c r="E107" s="554"/>
      <c r="F107" s="554"/>
      <c r="G107" s="709"/>
      <c r="H107" s="709"/>
      <c r="I107" s="554"/>
      <c r="J107" s="554"/>
      <c r="K107" s="554"/>
      <c r="L107" s="709"/>
      <c r="M107" s="709"/>
      <c r="N107" s="554"/>
      <c r="O107" s="554"/>
      <c r="P107" s="554"/>
      <c r="Q107" s="709"/>
      <c r="R107" s="709"/>
      <c r="S107" s="554"/>
      <c r="T107" s="554"/>
      <c r="U107" s="554"/>
      <c r="V107" s="709"/>
      <c r="W107" s="709"/>
      <c r="X107" s="554"/>
      <c r="Y107" s="554"/>
      <c r="Z107" s="554"/>
    </row>
  </sheetData>
  <sheetProtection formatCells="0" formatColumns="0" formatRows="0"/>
  <mergeCells count="28">
    <mergeCell ref="I37:I43"/>
    <mergeCell ref="I11:I25"/>
    <mergeCell ref="N26:N35"/>
    <mergeCell ref="I26:I35"/>
    <mergeCell ref="X26:X35"/>
    <mergeCell ref="N11:N20"/>
    <mergeCell ref="S11:S20"/>
    <mergeCell ref="I4:I10"/>
    <mergeCell ref="N4:N10"/>
    <mergeCell ref="S4:S10"/>
    <mergeCell ref="X4:X10"/>
    <mergeCell ref="A87:G87"/>
    <mergeCell ref="A86:B86"/>
    <mergeCell ref="I52:I54"/>
    <mergeCell ref="A81:I81"/>
    <mergeCell ref="I60:I69"/>
    <mergeCell ref="I70:I79"/>
    <mergeCell ref="N52:N54"/>
    <mergeCell ref="N60:N69"/>
    <mergeCell ref="N70:N79"/>
    <mergeCell ref="S26:S35"/>
    <mergeCell ref="S52:S54"/>
    <mergeCell ref="S60:S69"/>
    <mergeCell ref="S70:S79"/>
    <mergeCell ref="X52:X54"/>
    <mergeCell ref="X55:X57"/>
    <mergeCell ref="X60:X69"/>
    <mergeCell ref="X70:X79"/>
  </mergeCells>
  <pageMargins left="0.23622047244094491" right="0.23622047244094491" top="0.55118110236220474" bottom="0.35433070866141736" header="0.31496062992125984" footer="0.31496062992125984"/>
  <pageSetup paperSize="9" fitToHeight="0" orientation="portrait" verticalDpi="90" r:id="rId1"/>
  <headerFooter>
    <oddHeader>&amp;C&amp;"Times New Roman,Bold"&amp;14Bilance&amp;R&amp;"Times New Roman,Regular"&amp;14 3.pielikums</oddHeader>
    <oddFooter>&amp;C&amp;"Times New Roman,Regular"&amp;12&amp;F&amp;R&amp;"Times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57"/>
  <sheetViews>
    <sheetView view="pageBreakPreview" topLeftCell="A25" zoomScaleNormal="70" zoomScaleSheetLayoutView="100" zoomScalePageLayoutView="40" workbookViewId="0">
      <pane xSplit="1" topLeftCell="B1" activePane="topRight" state="frozen"/>
      <selection pane="topRight" activeCell="D49" sqref="D49"/>
    </sheetView>
  </sheetViews>
  <sheetFormatPr defaultColWidth="9.140625" defaultRowHeight="15.75" outlineLevelCol="1" x14ac:dyDescent="0.2"/>
  <cols>
    <col min="1" max="1" width="8.42578125" style="170" bestFit="1" customWidth="1"/>
    <col min="2" max="2" width="32.42578125" style="32" customWidth="1"/>
    <col min="3" max="3" width="18.28515625" style="32" customWidth="1"/>
    <col min="4" max="4" width="20.85546875" style="171" customWidth="1"/>
    <col min="5" max="5" width="21.42578125" style="32" customWidth="1"/>
    <col min="6" max="6" width="20.85546875" style="32" customWidth="1" outlineLevel="1"/>
    <col min="7" max="7" width="22" style="48" customWidth="1" outlineLevel="1"/>
    <col min="8" max="8" width="21.5703125" style="48" customWidth="1" outlineLevel="1"/>
    <col min="9" max="9" width="37.28515625" style="32" customWidth="1" outlineLevel="1"/>
    <col min="10" max="10" width="21.42578125" style="32" customWidth="1"/>
    <col min="11" max="11" width="20.85546875" style="32" customWidth="1" outlineLevel="1"/>
    <col min="12" max="12" width="22" style="48" customWidth="1" outlineLevel="1"/>
    <col min="13" max="13" width="21.5703125" style="48" customWidth="1" outlineLevel="1"/>
    <col min="14" max="14" width="37.28515625" style="32" customWidth="1" outlineLevel="1"/>
    <col min="15" max="15" width="21.42578125" style="32" customWidth="1"/>
    <col min="16" max="16" width="20.85546875" style="32" customWidth="1" outlineLevel="1"/>
    <col min="17" max="17" width="22" style="48" customWidth="1" outlineLevel="1"/>
    <col min="18" max="18" width="21.5703125" style="48" customWidth="1" outlineLevel="1"/>
    <col min="19" max="19" width="37.28515625" style="32" customWidth="1" outlineLevel="1"/>
    <col min="20" max="20" width="21.42578125" style="32" customWidth="1"/>
    <col min="21" max="21" width="20.85546875" style="32" customWidth="1" outlineLevel="1"/>
    <col min="22" max="22" width="22" style="48" customWidth="1" outlineLevel="1"/>
    <col min="23" max="23" width="21.5703125" style="48" customWidth="1" outlineLevel="1"/>
    <col min="24" max="24" width="37.28515625" style="32" customWidth="1" outlineLevel="1"/>
    <col min="25" max="16384" width="9.140625" style="32"/>
  </cols>
  <sheetData>
    <row r="1" spans="1:24" ht="63" x14ac:dyDescent="0.2">
      <c r="A1" s="23" t="s">
        <v>0</v>
      </c>
      <c r="B1" s="31" t="s">
        <v>237</v>
      </c>
      <c r="C1" s="24" t="s">
        <v>334</v>
      </c>
      <c r="D1" s="24" t="s">
        <v>335</v>
      </c>
      <c r="E1" s="24" t="s">
        <v>4</v>
      </c>
      <c r="F1" s="24" t="s">
        <v>5</v>
      </c>
      <c r="G1" s="25" t="s">
        <v>6</v>
      </c>
      <c r="H1" s="26" t="s">
        <v>7</v>
      </c>
      <c r="I1" s="24" t="s">
        <v>238</v>
      </c>
      <c r="J1" s="24" t="s">
        <v>9</v>
      </c>
      <c r="K1" s="24" t="s">
        <v>10</v>
      </c>
      <c r="L1" s="25" t="s">
        <v>6</v>
      </c>
      <c r="M1" s="26" t="s">
        <v>7</v>
      </c>
      <c r="N1" s="24" t="s">
        <v>238</v>
      </c>
      <c r="O1" s="24" t="s">
        <v>11</v>
      </c>
      <c r="P1" s="24" t="s">
        <v>12</v>
      </c>
      <c r="Q1" s="25" t="s">
        <v>6</v>
      </c>
      <c r="R1" s="26" t="s">
        <v>7</v>
      </c>
      <c r="S1" s="24" t="s">
        <v>238</v>
      </c>
      <c r="T1" s="24" t="s">
        <v>13</v>
      </c>
      <c r="U1" s="24" t="s">
        <v>14</v>
      </c>
      <c r="V1" s="25" t="s">
        <v>6</v>
      </c>
      <c r="W1" s="26" t="s">
        <v>7</v>
      </c>
      <c r="X1" s="24" t="s">
        <v>238</v>
      </c>
    </row>
    <row r="2" spans="1:24" ht="12" customHeight="1" x14ac:dyDescent="0.2">
      <c r="A2" s="33">
        <v>1</v>
      </c>
      <c r="B2" s="24">
        <v>2</v>
      </c>
      <c r="C2" s="33">
        <v>3</v>
      </c>
      <c r="D2" s="24">
        <v>4</v>
      </c>
      <c r="E2" s="33">
        <v>5</v>
      </c>
      <c r="F2" s="24">
        <v>6</v>
      </c>
      <c r="G2" s="33">
        <v>7</v>
      </c>
      <c r="H2" s="24">
        <v>8</v>
      </c>
      <c r="I2" s="33">
        <v>9</v>
      </c>
      <c r="J2" s="33">
        <v>10</v>
      </c>
      <c r="K2" s="24">
        <v>11</v>
      </c>
      <c r="L2" s="33">
        <v>12</v>
      </c>
      <c r="M2" s="24">
        <v>13</v>
      </c>
      <c r="N2" s="33">
        <v>14</v>
      </c>
      <c r="O2" s="24">
        <v>15</v>
      </c>
      <c r="P2" s="33">
        <v>16</v>
      </c>
      <c r="Q2" s="24">
        <v>17</v>
      </c>
      <c r="R2" s="33">
        <v>18</v>
      </c>
      <c r="S2" s="33">
        <v>19</v>
      </c>
      <c r="T2" s="24">
        <v>20</v>
      </c>
      <c r="U2" s="33">
        <v>21</v>
      </c>
      <c r="V2" s="24">
        <v>22</v>
      </c>
      <c r="W2" s="33">
        <v>23</v>
      </c>
      <c r="X2" s="24">
        <v>24</v>
      </c>
    </row>
    <row r="3" spans="1:24" ht="28.5" customHeight="1" x14ac:dyDescent="0.2">
      <c r="A3" s="92">
        <v>10000</v>
      </c>
      <c r="B3" s="45" t="s">
        <v>336</v>
      </c>
      <c r="C3" s="94">
        <v>341159.26999999559</v>
      </c>
      <c r="D3" s="94">
        <v>1217329.8099999893</v>
      </c>
      <c r="E3" s="94">
        <v>1217329.8099999893</v>
      </c>
      <c r="F3" s="94">
        <v>1217329.8099999893</v>
      </c>
      <c r="G3" s="95">
        <f>F3-E3</f>
        <v>0</v>
      </c>
      <c r="H3" s="29">
        <f>IFERROR(G3/ABS(E3), "-")</f>
        <v>0</v>
      </c>
      <c r="I3" s="301"/>
      <c r="J3" s="94">
        <v>1217329.8099999893</v>
      </c>
      <c r="K3" s="94">
        <v>1217329.8099999893</v>
      </c>
      <c r="L3" s="95">
        <f>K3-J3</f>
        <v>0</v>
      </c>
      <c r="M3" s="29">
        <f>IFERROR(L3/ABS(J3), "-")</f>
        <v>0</v>
      </c>
      <c r="N3" s="301"/>
      <c r="O3" s="94">
        <v>1217329.8099999893</v>
      </c>
      <c r="P3" s="94">
        <v>1217329.8099999893</v>
      </c>
      <c r="Q3" s="95">
        <f>P3-O3</f>
        <v>0</v>
      </c>
      <c r="R3" s="29">
        <f>IFERROR(Q3/ABS(O3), "-")</f>
        <v>0</v>
      </c>
      <c r="S3" s="301"/>
      <c r="T3" s="94">
        <v>1217329.8099999893</v>
      </c>
      <c r="U3" s="94">
        <v>1217329.8099999893</v>
      </c>
      <c r="V3" s="95">
        <f>U3-T3</f>
        <v>0</v>
      </c>
      <c r="W3" s="29">
        <f>IFERROR(V3/ABS(T3), "-")</f>
        <v>0</v>
      </c>
      <c r="X3" s="301"/>
    </row>
    <row r="4" spans="1:24" ht="15.6" customHeight="1" x14ac:dyDescent="0.2">
      <c r="A4" s="294" t="s">
        <v>337</v>
      </c>
      <c r="B4" s="805">
        <v>159130</v>
      </c>
      <c r="C4" s="805"/>
      <c r="D4" s="805"/>
      <c r="E4" s="805"/>
      <c r="F4" s="805"/>
      <c r="G4" s="805"/>
      <c r="H4" s="295"/>
      <c r="I4" s="296"/>
      <c r="J4" s="297"/>
      <c r="K4" s="297"/>
      <c r="L4" s="297"/>
      <c r="M4" s="295"/>
      <c r="N4" s="296"/>
      <c r="O4" s="297"/>
      <c r="P4" s="297"/>
      <c r="Q4" s="297"/>
      <c r="R4" s="295"/>
      <c r="S4" s="296"/>
      <c r="T4" s="297"/>
      <c r="U4" s="297"/>
      <c r="V4" s="297"/>
      <c r="W4" s="295"/>
      <c r="X4" s="296"/>
    </row>
    <row r="5" spans="1:24" ht="15.6" customHeight="1" x14ac:dyDescent="0.2">
      <c r="A5" s="92">
        <v>11000</v>
      </c>
      <c r="B5" s="45" t="s">
        <v>338</v>
      </c>
      <c r="C5" s="93">
        <f>C6+C11+C12+C13+C14+C15</f>
        <v>29208883.369999997</v>
      </c>
      <c r="D5" s="93">
        <v>29508617</v>
      </c>
      <c r="E5" s="93">
        <f>E6+E11+E12+E13+E14+E15</f>
        <v>7631850</v>
      </c>
      <c r="F5" s="93">
        <f>F6+F11+F12+F13+F14+F15</f>
        <v>0</v>
      </c>
      <c r="G5" s="96">
        <f t="shared" ref="G5:G19" si="0">F5-E5</f>
        <v>-7631850</v>
      </c>
      <c r="H5" s="97">
        <f t="shared" ref="H5:H54" si="1">IFERROR(G5/ABS(E5), "-")</f>
        <v>-1</v>
      </c>
      <c r="I5" s="299"/>
      <c r="J5" s="93">
        <f>J6+J11+J12+J13+J14+J15</f>
        <v>14925778</v>
      </c>
      <c r="K5" s="93">
        <f>K6+K11+K12+K13+K14+K15</f>
        <v>0</v>
      </c>
      <c r="L5" s="96">
        <f t="shared" ref="L5:L19" si="2">K5-J5</f>
        <v>-14925778</v>
      </c>
      <c r="M5" s="97">
        <f t="shared" ref="M5:M17" si="3">IFERROR(L5/ABS(J5), "-")</f>
        <v>-1</v>
      </c>
      <c r="N5" s="299"/>
      <c r="O5" s="93">
        <f>O6+O11+O12+O13+O14+O15</f>
        <v>22219549</v>
      </c>
      <c r="P5" s="93">
        <f>P6+P11+P12+P13+P14+P15</f>
        <v>0</v>
      </c>
      <c r="Q5" s="96">
        <f t="shared" ref="Q5:Q19" si="4">P5-O5</f>
        <v>-22219549</v>
      </c>
      <c r="R5" s="97">
        <f t="shared" ref="R5:R17" si="5">IFERROR(Q5/ABS(O5), "-")</f>
        <v>-1</v>
      </c>
      <c r="S5" s="299"/>
      <c r="T5" s="93">
        <f>T6+T11+T12+T13+T14+T15</f>
        <v>29508617</v>
      </c>
      <c r="U5" s="93">
        <f>U6+U11+U12+U13+U14+U15</f>
        <v>0</v>
      </c>
      <c r="V5" s="96">
        <f t="shared" ref="V5:V19" si="6">U5-T5</f>
        <v>-29508617</v>
      </c>
      <c r="W5" s="97">
        <f t="shared" ref="W5:W17" si="7">IFERROR(V5/ABS(T5), "-")</f>
        <v>-1</v>
      </c>
      <c r="X5" s="299"/>
    </row>
    <row r="6" spans="1:24" ht="15.6" customHeight="1" x14ac:dyDescent="0.2">
      <c r="A6" s="49">
        <v>11100</v>
      </c>
      <c r="B6" s="50" t="s">
        <v>339</v>
      </c>
      <c r="C6" s="51">
        <f>C7+C8+C9+C10</f>
        <v>26578734.949999999</v>
      </c>
      <c r="D6" s="51">
        <v>26450464</v>
      </c>
      <c r="E6" s="174">
        <f>E7+E9</f>
        <v>6827510</v>
      </c>
      <c r="F6" s="174"/>
      <c r="G6" s="52">
        <f t="shared" si="0"/>
        <v>-6827510</v>
      </c>
      <c r="H6" s="53">
        <f t="shared" si="1"/>
        <v>-1</v>
      </c>
      <c r="I6" s="54"/>
      <c r="J6" s="174">
        <f>J7+J9</f>
        <v>13368495</v>
      </c>
      <c r="K6" s="174"/>
      <c r="L6" s="52">
        <f t="shared" si="2"/>
        <v>-13368495</v>
      </c>
      <c r="M6" s="53">
        <f t="shared" si="3"/>
        <v>-1</v>
      </c>
      <c r="N6" s="54"/>
      <c r="O6" s="174">
        <f>O7+O9</f>
        <v>19909479</v>
      </c>
      <c r="P6" s="174"/>
      <c r="Q6" s="52">
        <f t="shared" si="4"/>
        <v>-19909479</v>
      </c>
      <c r="R6" s="53">
        <f t="shared" si="5"/>
        <v>-1</v>
      </c>
      <c r="S6" s="54"/>
      <c r="T6" s="174">
        <f>T7+T9</f>
        <v>26450464</v>
      </c>
      <c r="U6" s="174"/>
      <c r="V6" s="52">
        <f t="shared" si="6"/>
        <v>-26450464</v>
      </c>
      <c r="W6" s="53">
        <f t="shared" si="7"/>
        <v>-1</v>
      </c>
      <c r="X6" s="54"/>
    </row>
    <row r="7" spans="1:24" s="164" customFormat="1" ht="27.75" customHeight="1" x14ac:dyDescent="0.2">
      <c r="A7" s="49">
        <v>11110</v>
      </c>
      <c r="B7" s="55" t="s">
        <v>20</v>
      </c>
      <c r="C7" s="51">
        <v>25209597.199999999</v>
      </c>
      <c r="D7" s="51">
        <v>24940315</v>
      </c>
      <c r="E7" s="174">
        <v>6451624</v>
      </c>
      <c r="F7" s="174"/>
      <c r="G7" s="52">
        <f t="shared" si="0"/>
        <v>-6451624</v>
      </c>
      <c r="H7" s="53">
        <f t="shared" si="1"/>
        <v>-1</v>
      </c>
      <c r="I7" s="56"/>
      <c r="J7" s="174">
        <v>12614521</v>
      </c>
      <c r="K7" s="174"/>
      <c r="L7" s="52">
        <f t="shared" si="2"/>
        <v>-12614521</v>
      </c>
      <c r="M7" s="53">
        <f t="shared" si="3"/>
        <v>-1</v>
      </c>
      <c r="N7" s="56"/>
      <c r="O7" s="174">
        <v>18777418</v>
      </c>
      <c r="P7" s="174"/>
      <c r="Q7" s="52">
        <f t="shared" si="4"/>
        <v>-18777418</v>
      </c>
      <c r="R7" s="53">
        <f t="shared" si="5"/>
        <v>-1</v>
      </c>
      <c r="S7" s="56"/>
      <c r="T7" s="174">
        <v>24940315</v>
      </c>
      <c r="U7" s="174"/>
      <c r="V7" s="52">
        <f t="shared" si="6"/>
        <v>-24940315</v>
      </c>
      <c r="W7" s="53">
        <f t="shared" si="7"/>
        <v>-1</v>
      </c>
      <c r="X7" s="56"/>
    </row>
    <row r="8" spans="1:24" s="165" customFormat="1" ht="28.5" customHeight="1" x14ac:dyDescent="0.2">
      <c r="A8" s="49">
        <v>11120</v>
      </c>
      <c r="B8" s="57" t="s">
        <v>30</v>
      </c>
      <c r="C8" s="51"/>
      <c r="D8" s="51"/>
      <c r="E8" s="174"/>
      <c r="F8" s="174"/>
      <c r="G8" s="52">
        <f t="shared" si="0"/>
        <v>0</v>
      </c>
      <c r="H8" s="53" t="str">
        <f t="shared" si="1"/>
        <v>-</v>
      </c>
      <c r="I8" s="56"/>
      <c r="J8" s="174"/>
      <c r="K8" s="174"/>
      <c r="L8" s="52">
        <f t="shared" si="2"/>
        <v>0</v>
      </c>
      <c r="M8" s="53" t="str">
        <f t="shared" si="3"/>
        <v>-</v>
      </c>
      <c r="N8" s="56"/>
      <c r="O8" s="174"/>
      <c r="P8" s="174"/>
      <c r="Q8" s="52">
        <f t="shared" si="4"/>
        <v>0</v>
      </c>
      <c r="R8" s="53" t="str">
        <f t="shared" si="5"/>
        <v>-</v>
      </c>
      <c r="S8" s="56"/>
      <c r="T8" s="174"/>
      <c r="U8" s="174"/>
      <c r="V8" s="52">
        <f t="shared" si="6"/>
        <v>0</v>
      </c>
      <c r="W8" s="53" t="str">
        <f t="shared" si="7"/>
        <v>-</v>
      </c>
      <c r="X8" s="56"/>
    </row>
    <row r="9" spans="1:24" s="165" customFormat="1" ht="29.25" customHeight="1" x14ac:dyDescent="0.2">
      <c r="A9" s="49">
        <v>11130</v>
      </c>
      <c r="B9" s="57" t="s">
        <v>340</v>
      </c>
      <c r="C9" s="51">
        <f>1368548.63+589.12</f>
        <v>1369137.75</v>
      </c>
      <c r="D9" s="51">
        <v>1510149</v>
      </c>
      <c r="E9" s="174">
        <v>375886</v>
      </c>
      <c r="F9" s="174"/>
      <c r="G9" s="52">
        <f t="shared" si="0"/>
        <v>-375886</v>
      </c>
      <c r="H9" s="53">
        <f t="shared" si="1"/>
        <v>-1</v>
      </c>
      <c r="I9" s="364"/>
      <c r="J9" s="174">
        <v>753974</v>
      </c>
      <c r="K9" s="174"/>
      <c r="L9" s="52">
        <f t="shared" si="2"/>
        <v>-753974</v>
      </c>
      <c r="M9" s="53">
        <f t="shared" si="3"/>
        <v>-1</v>
      </c>
      <c r="N9" s="364"/>
      <c r="O9" s="174">
        <v>1132061</v>
      </c>
      <c r="P9" s="174"/>
      <c r="Q9" s="52">
        <f t="shared" si="4"/>
        <v>-1132061</v>
      </c>
      <c r="R9" s="53">
        <f t="shared" si="5"/>
        <v>-1</v>
      </c>
      <c r="S9" s="364"/>
      <c r="T9" s="174">
        <v>1510149</v>
      </c>
      <c r="U9" s="174"/>
      <c r="V9" s="52">
        <f t="shared" si="6"/>
        <v>-1510149</v>
      </c>
      <c r="W9" s="53">
        <f t="shared" si="7"/>
        <v>-1</v>
      </c>
      <c r="X9" s="364"/>
    </row>
    <row r="10" spans="1:24" s="165" customFormat="1" x14ac:dyDescent="0.2">
      <c r="A10" s="49">
        <v>11140</v>
      </c>
      <c r="B10" s="57" t="s">
        <v>42</v>
      </c>
      <c r="C10" s="51"/>
      <c r="D10" s="51"/>
      <c r="E10" s="174"/>
      <c r="F10" s="174"/>
      <c r="G10" s="52">
        <f t="shared" si="0"/>
        <v>0</v>
      </c>
      <c r="H10" s="53" t="str">
        <f t="shared" si="1"/>
        <v>-</v>
      </c>
      <c r="I10" s="56"/>
      <c r="J10" s="174"/>
      <c r="K10" s="174"/>
      <c r="L10" s="52">
        <f t="shared" si="2"/>
        <v>0</v>
      </c>
      <c r="M10" s="53" t="str">
        <f t="shared" si="3"/>
        <v>-</v>
      </c>
      <c r="N10" s="56"/>
      <c r="O10" s="174"/>
      <c r="P10" s="174"/>
      <c r="Q10" s="52">
        <f t="shared" si="4"/>
        <v>0</v>
      </c>
      <c r="R10" s="53" t="str">
        <f t="shared" si="5"/>
        <v>-</v>
      </c>
      <c r="S10" s="56"/>
      <c r="T10" s="174"/>
      <c r="U10" s="174"/>
      <c r="V10" s="52">
        <f t="shared" si="6"/>
        <v>0</v>
      </c>
      <c r="W10" s="53" t="str">
        <f t="shared" si="7"/>
        <v>-</v>
      </c>
      <c r="X10" s="56"/>
    </row>
    <row r="11" spans="1:24" ht="15.6" customHeight="1" x14ac:dyDescent="0.2">
      <c r="A11" s="49">
        <v>11200</v>
      </c>
      <c r="B11" s="58" t="s">
        <v>48</v>
      </c>
      <c r="C11" s="59"/>
      <c r="D11" s="59"/>
      <c r="E11" s="362"/>
      <c r="F11" s="362"/>
      <c r="G11" s="60">
        <f t="shared" si="0"/>
        <v>0</v>
      </c>
      <c r="H11" s="61" t="str">
        <f t="shared" si="1"/>
        <v>-</v>
      </c>
      <c r="I11" s="62"/>
      <c r="J11" s="362"/>
      <c r="K11" s="362"/>
      <c r="L11" s="60">
        <f t="shared" si="2"/>
        <v>0</v>
      </c>
      <c r="M11" s="61" t="str">
        <f t="shared" si="3"/>
        <v>-</v>
      </c>
      <c r="N11" s="62"/>
      <c r="O11" s="362"/>
      <c r="P11" s="362"/>
      <c r="Q11" s="60">
        <f t="shared" si="4"/>
        <v>0</v>
      </c>
      <c r="R11" s="61" t="str">
        <f t="shared" si="5"/>
        <v>-</v>
      </c>
      <c r="S11" s="62"/>
      <c r="T11" s="362"/>
      <c r="U11" s="362"/>
      <c r="V11" s="60">
        <f t="shared" si="6"/>
        <v>0</v>
      </c>
      <c r="W11" s="61" t="str">
        <f t="shared" si="7"/>
        <v>-</v>
      </c>
      <c r="X11" s="62"/>
    </row>
    <row r="12" spans="1:24" ht="29.25" customHeight="1" x14ac:dyDescent="0.2">
      <c r="A12" s="49">
        <v>11300</v>
      </c>
      <c r="B12" s="63" t="s">
        <v>54</v>
      </c>
      <c r="C12" s="59">
        <f>1699269.67+80458.9+3501.24</f>
        <v>1783229.8099999998</v>
      </c>
      <c r="D12" s="59">
        <v>2288422</v>
      </c>
      <c r="E12" s="362">
        <v>615238</v>
      </c>
      <c r="F12" s="362"/>
      <c r="G12" s="60">
        <f t="shared" si="0"/>
        <v>-615238</v>
      </c>
      <c r="H12" s="61">
        <f t="shared" si="1"/>
        <v>-1</v>
      </c>
      <c r="I12" s="62"/>
      <c r="J12" s="362">
        <v>1172219</v>
      </c>
      <c r="K12" s="362"/>
      <c r="L12" s="60">
        <f t="shared" si="2"/>
        <v>-1172219</v>
      </c>
      <c r="M12" s="61">
        <f t="shared" si="3"/>
        <v>-1</v>
      </c>
      <c r="N12" s="62"/>
      <c r="O12" s="362">
        <v>1726992</v>
      </c>
      <c r="P12" s="362"/>
      <c r="Q12" s="60">
        <f t="shared" si="4"/>
        <v>-1726992</v>
      </c>
      <c r="R12" s="61">
        <f t="shared" si="5"/>
        <v>-1</v>
      </c>
      <c r="S12" s="62"/>
      <c r="T12" s="362">
        <v>2288422</v>
      </c>
      <c r="U12" s="362"/>
      <c r="V12" s="60">
        <f t="shared" si="6"/>
        <v>-2288422</v>
      </c>
      <c r="W12" s="61">
        <f t="shared" si="7"/>
        <v>-1</v>
      </c>
      <c r="X12" s="62"/>
    </row>
    <row r="13" spans="1:24" ht="27.75" customHeight="1" x14ac:dyDescent="0.2">
      <c r="A13" s="49">
        <v>11400</v>
      </c>
      <c r="B13" s="16" t="s">
        <v>64</v>
      </c>
      <c r="C13" s="64">
        <v>389445.63</v>
      </c>
      <c r="D13" s="64">
        <v>283792</v>
      </c>
      <c r="E13" s="81">
        <v>68527</v>
      </c>
      <c r="F13" s="81"/>
      <c r="G13" s="65">
        <f t="shared" si="0"/>
        <v>-68527</v>
      </c>
      <c r="H13" s="39">
        <f t="shared" si="1"/>
        <v>-1</v>
      </c>
      <c r="I13" s="532"/>
      <c r="J13" s="81">
        <v>139178</v>
      </c>
      <c r="K13" s="81"/>
      <c r="L13" s="65">
        <f t="shared" si="2"/>
        <v>-139178</v>
      </c>
      <c r="M13" s="39">
        <f t="shared" si="3"/>
        <v>-1</v>
      </c>
      <c r="N13" s="532"/>
      <c r="O13" s="81">
        <v>213088</v>
      </c>
      <c r="P13" s="81"/>
      <c r="Q13" s="65">
        <f t="shared" si="4"/>
        <v>-213088</v>
      </c>
      <c r="R13" s="39">
        <f t="shared" si="5"/>
        <v>-1</v>
      </c>
      <c r="S13" s="532"/>
      <c r="T13" s="81">
        <v>283792</v>
      </c>
      <c r="U13" s="81"/>
      <c r="V13" s="65">
        <f t="shared" si="6"/>
        <v>-283792</v>
      </c>
      <c r="W13" s="39">
        <f t="shared" si="7"/>
        <v>-1</v>
      </c>
      <c r="X13" s="532"/>
    </row>
    <row r="14" spans="1:24" ht="31.5" customHeight="1" x14ac:dyDescent="0.2">
      <c r="A14" s="49">
        <v>11500</v>
      </c>
      <c r="B14" s="16" t="s">
        <v>341</v>
      </c>
      <c r="C14" s="64">
        <v>315086.14</v>
      </c>
      <c r="D14" s="64">
        <v>331373</v>
      </c>
      <c r="E14" s="81">
        <v>82879</v>
      </c>
      <c r="F14" s="81"/>
      <c r="G14" s="65">
        <f t="shared" si="0"/>
        <v>-82879</v>
      </c>
      <c r="H14" s="39">
        <f t="shared" si="1"/>
        <v>-1</v>
      </c>
      <c r="I14" s="85"/>
      <c r="J14" s="81">
        <v>168479</v>
      </c>
      <c r="K14" s="81"/>
      <c r="L14" s="65">
        <f t="shared" si="2"/>
        <v>-168479</v>
      </c>
      <c r="M14" s="39">
        <f t="shared" si="3"/>
        <v>-1</v>
      </c>
      <c r="N14" s="85"/>
      <c r="O14" s="81">
        <v>254050</v>
      </c>
      <c r="P14" s="81"/>
      <c r="Q14" s="65">
        <f t="shared" si="4"/>
        <v>-254050</v>
      </c>
      <c r="R14" s="39">
        <f t="shared" si="5"/>
        <v>-1</v>
      </c>
      <c r="S14" s="85"/>
      <c r="T14" s="81">
        <v>331373</v>
      </c>
      <c r="U14" s="81"/>
      <c r="V14" s="65">
        <f t="shared" si="6"/>
        <v>-331373</v>
      </c>
      <c r="W14" s="39">
        <f t="shared" si="7"/>
        <v>-1</v>
      </c>
      <c r="X14" s="85"/>
    </row>
    <row r="15" spans="1:24" ht="37.5" customHeight="1" x14ac:dyDescent="0.2">
      <c r="A15" s="49">
        <v>11600</v>
      </c>
      <c r="B15" s="66" t="s">
        <v>70</v>
      </c>
      <c r="C15" s="64">
        <v>142386.84</v>
      </c>
      <c r="D15" s="64">
        <v>154566</v>
      </c>
      <c r="E15" s="81">
        <v>37696</v>
      </c>
      <c r="F15" s="81"/>
      <c r="G15" s="65">
        <f t="shared" si="0"/>
        <v>-37696</v>
      </c>
      <c r="H15" s="39">
        <f t="shared" si="1"/>
        <v>-1</v>
      </c>
      <c r="I15" s="532"/>
      <c r="J15" s="81">
        <v>77407</v>
      </c>
      <c r="K15" s="81"/>
      <c r="L15" s="65">
        <f t="shared" si="2"/>
        <v>-77407</v>
      </c>
      <c r="M15" s="39">
        <f t="shared" si="3"/>
        <v>-1</v>
      </c>
      <c r="N15" s="532"/>
      <c r="O15" s="81">
        <v>115940</v>
      </c>
      <c r="P15" s="81"/>
      <c r="Q15" s="65">
        <f t="shared" si="4"/>
        <v>-115940</v>
      </c>
      <c r="R15" s="39">
        <f t="shared" si="5"/>
        <v>-1</v>
      </c>
      <c r="S15" s="532"/>
      <c r="T15" s="81">
        <v>154566</v>
      </c>
      <c r="U15" s="81"/>
      <c r="V15" s="65">
        <f t="shared" si="6"/>
        <v>-154566</v>
      </c>
      <c r="W15" s="39">
        <f t="shared" si="7"/>
        <v>-1</v>
      </c>
      <c r="X15" s="532"/>
    </row>
    <row r="16" spans="1:24" ht="15.6" customHeight="1" x14ac:dyDescent="0.2">
      <c r="A16" s="92">
        <v>12000</v>
      </c>
      <c r="B16" s="45" t="s">
        <v>342</v>
      </c>
      <c r="C16" s="94">
        <f>C17+C18</f>
        <v>28358557.090000004</v>
      </c>
      <c r="D16" s="94">
        <v>29422272</v>
      </c>
      <c r="E16" s="94">
        <f>E17+E18</f>
        <v>7441294</v>
      </c>
      <c r="F16" s="94">
        <f>F17+F18</f>
        <v>0</v>
      </c>
      <c r="G16" s="95">
        <f t="shared" si="0"/>
        <v>-7441294</v>
      </c>
      <c r="H16" s="29">
        <f t="shared" si="1"/>
        <v>-1</v>
      </c>
      <c r="I16" s="301"/>
      <c r="J16" s="94">
        <f>J17+J18</f>
        <v>14383978</v>
      </c>
      <c r="K16" s="94">
        <f>K17+K18</f>
        <v>0</v>
      </c>
      <c r="L16" s="95">
        <f t="shared" si="2"/>
        <v>-14383978</v>
      </c>
      <c r="M16" s="29">
        <f t="shared" si="3"/>
        <v>-1</v>
      </c>
      <c r="N16" s="301"/>
      <c r="O16" s="94">
        <f>O17+O18</f>
        <v>21527749</v>
      </c>
      <c r="P16" s="94">
        <f>P17+P18</f>
        <v>0</v>
      </c>
      <c r="Q16" s="95">
        <f t="shared" si="4"/>
        <v>-21527749</v>
      </c>
      <c r="R16" s="29">
        <f t="shared" si="5"/>
        <v>-1</v>
      </c>
      <c r="S16" s="301"/>
      <c r="T16" s="94">
        <f>T17+T18</f>
        <v>29422272</v>
      </c>
      <c r="U16" s="94">
        <f>U17+U18</f>
        <v>0</v>
      </c>
      <c r="V16" s="95">
        <f t="shared" si="6"/>
        <v>-29422272</v>
      </c>
      <c r="W16" s="29">
        <f t="shared" si="7"/>
        <v>-1</v>
      </c>
      <c r="X16" s="301"/>
    </row>
    <row r="17" spans="1:24" x14ac:dyDescent="0.2">
      <c r="A17" s="49">
        <v>12100</v>
      </c>
      <c r="B17" s="50" t="s">
        <v>343</v>
      </c>
      <c r="C17" s="59">
        <f>1733637.73</f>
        <v>1733637.73</v>
      </c>
      <c r="D17" s="59">
        <v>1919065</v>
      </c>
      <c r="E17" s="362">
        <v>462017</v>
      </c>
      <c r="F17" s="362"/>
      <c r="G17" s="60">
        <f t="shared" si="0"/>
        <v>-462017</v>
      </c>
      <c r="H17" s="61">
        <f t="shared" si="1"/>
        <v>-1</v>
      </c>
      <c r="I17" s="363"/>
      <c r="J17" s="362">
        <v>900122</v>
      </c>
      <c r="K17" s="362"/>
      <c r="L17" s="60">
        <f t="shared" si="2"/>
        <v>-900122</v>
      </c>
      <c r="M17" s="61">
        <f t="shared" si="3"/>
        <v>-1</v>
      </c>
      <c r="N17" s="363"/>
      <c r="O17" s="362">
        <v>1382474</v>
      </c>
      <c r="P17" s="362"/>
      <c r="Q17" s="60">
        <f t="shared" si="4"/>
        <v>-1382474</v>
      </c>
      <c r="R17" s="61">
        <f t="shared" si="5"/>
        <v>-1</v>
      </c>
      <c r="S17" s="363"/>
      <c r="T17" s="362">
        <v>1919065</v>
      </c>
      <c r="U17" s="362"/>
      <c r="V17" s="60">
        <f t="shared" si="6"/>
        <v>-1919065</v>
      </c>
      <c r="W17" s="61">
        <f t="shared" si="7"/>
        <v>-1</v>
      </c>
      <c r="X17" s="363"/>
    </row>
    <row r="18" spans="1:24" ht="42" customHeight="1" x14ac:dyDescent="0.2">
      <c r="A18" s="49">
        <v>12200</v>
      </c>
      <c r="B18" s="50" t="s">
        <v>344</v>
      </c>
      <c r="C18" s="59">
        <f>28321965.52+2777.76-C17+32981.67+832.14</f>
        <v>26624919.360000003</v>
      </c>
      <c r="D18" s="59">
        <v>27503207</v>
      </c>
      <c r="E18" s="362">
        <f>7339112-462017-21771+123953</f>
        <v>6979277</v>
      </c>
      <c r="F18" s="362"/>
      <c r="G18" s="60">
        <f t="shared" si="0"/>
        <v>-6979277</v>
      </c>
      <c r="H18" s="61">
        <f>IFERROR(G18/ABS(E18), "-")</f>
        <v>-1</v>
      </c>
      <c r="I18" s="62"/>
      <c r="J18" s="362">
        <f>14817175-J17-40746-392451</f>
        <v>13483856</v>
      </c>
      <c r="K18" s="362"/>
      <c r="L18" s="60">
        <f t="shared" si="2"/>
        <v>-13483856</v>
      </c>
      <c r="M18" s="61">
        <f>IFERROR(L18/ABS(J18), "-")</f>
        <v>-1</v>
      </c>
      <c r="N18" s="62"/>
      <c r="O18" s="362">
        <f>22347765-O17-61506-758510</f>
        <v>20145275</v>
      </c>
      <c r="P18" s="362"/>
      <c r="Q18" s="60">
        <f t="shared" si="4"/>
        <v>-20145275</v>
      </c>
      <c r="R18" s="61">
        <f>IFERROR(Q18/ABS(O18), "-")</f>
        <v>-1</v>
      </c>
      <c r="S18" s="62"/>
      <c r="T18" s="59">
        <f>30192902-T17-80738-689892</f>
        <v>27503207</v>
      </c>
      <c r="U18" s="362"/>
      <c r="V18" s="60">
        <f t="shared" si="6"/>
        <v>-27503207</v>
      </c>
      <c r="W18" s="61">
        <f>IFERROR(V18/ABS(T18), "-")</f>
        <v>-1</v>
      </c>
      <c r="X18" s="62"/>
    </row>
    <row r="19" spans="1:24" ht="29.45" customHeight="1" x14ac:dyDescent="0.2">
      <c r="A19" s="92">
        <v>13000</v>
      </c>
      <c r="B19" s="98" t="s">
        <v>345</v>
      </c>
      <c r="C19" s="94">
        <f>C5-C16</f>
        <v>850326.27999999374</v>
      </c>
      <c r="D19" s="94">
        <v>86345</v>
      </c>
      <c r="E19" s="94">
        <f>E5-E16</f>
        <v>190556</v>
      </c>
      <c r="F19" s="94">
        <f>F5-F16</f>
        <v>0</v>
      </c>
      <c r="G19" s="95">
        <f t="shared" si="0"/>
        <v>-190556</v>
      </c>
      <c r="H19" s="29">
        <f>IFERROR(G19/ABS(E19), "-")</f>
        <v>-1</v>
      </c>
      <c r="I19" s="301"/>
      <c r="J19" s="94">
        <f>J5-J16</f>
        <v>541800</v>
      </c>
      <c r="K19" s="94">
        <f>K5-K16</f>
        <v>0</v>
      </c>
      <c r="L19" s="95">
        <f t="shared" si="2"/>
        <v>-541800</v>
      </c>
      <c r="M19" s="29">
        <f>IFERROR(L19/ABS(J19), "-")</f>
        <v>-1</v>
      </c>
      <c r="N19" s="301"/>
      <c r="O19" s="94">
        <f>O5-O16</f>
        <v>691800</v>
      </c>
      <c r="P19" s="94">
        <f>P5-P16</f>
        <v>0</v>
      </c>
      <c r="Q19" s="95">
        <f t="shared" si="4"/>
        <v>-691800</v>
      </c>
      <c r="R19" s="29">
        <f>IFERROR(Q19/ABS(O19), "-")</f>
        <v>-1</v>
      </c>
      <c r="S19" s="301"/>
      <c r="T19" s="94">
        <f>T5-T16</f>
        <v>86345</v>
      </c>
      <c r="U19" s="94">
        <f>U5-U16</f>
        <v>0</v>
      </c>
      <c r="V19" s="95">
        <f t="shared" si="6"/>
        <v>-86345</v>
      </c>
      <c r="W19" s="29">
        <f>IFERROR(V19/ABS(T19), "-")</f>
        <v>-1</v>
      </c>
      <c r="X19" s="301"/>
    </row>
    <row r="20" spans="1:24" ht="15.6" customHeight="1" x14ac:dyDescent="0.2">
      <c r="A20" s="294" t="s">
        <v>346</v>
      </c>
      <c r="B20" s="805" t="s">
        <v>347</v>
      </c>
      <c r="C20" s="805"/>
      <c r="D20" s="805"/>
      <c r="E20" s="805"/>
      <c r="F20" s="805"/>
      <c r="G20" s="805"/>
      <c r="H20" s="439" t="str">
        <f t="shared" ref="H20:H34" si="8">IFERROR(G20/ABS(E20), "-")</f>
        <v>-</v>
      </c>
      <c r="I20" s="296"/>
      <c r="J20" s="297"/>
      <c r="K20" s="297"/>
      <c r="L20" s="297"/>
      <c r="M20" s="439" t="str">
        <f t="shared" ref="M20:M54" si="9">IFERROR(L20/ABS(J20), "-")</f>
        <v>-</v>
      </c>
      <c r="N20" s="296"/>
      <c r="O20" s="297"/>
      <c r="P20" s="297"/>
      <c r="Q20" s="297"/>
      <c r="R20" s="439" t="str">
        <f t="shared" ref="R20:R54" si="10">IFERROR(Q20/ABS(O20), "-")</f>
        <v>-</v>
      </c>
      <c r="S20" s="296"/>
      <c r="T20" s="297"/>
      <c r="U20" s="297"/>
      <c r="V20" s="297"/>
      <c r="W20" s="439" t="str">
        <f t="shared" ref="W20:W54" si="11">IFERROR(V20/ABS(T20), "-")</f>
        <v>-</v>
      </c>
      <c r="X20" s="296"/>
    </row>
    <row r="21" spans="1:24" ht="15.6" customHeight="1" x14ac:dyDescent="0.2">
      <c r="A21" s="99">
        <v>14000</v>
      </c>
      <c r="B21" s="100" t="s">
        <v>348</v>
      </c>
      <c r="C21" s="101">
        <f t="shared" ref="C21" si="12">C22+C23+C24+C25+C26</f>
        <v>0</v>
      </c>
      <c r="D21" s="101">
        <f t="shared" ref="D21:E21" si="13">D22+D23+D24+D25+D26</f>
        <v>0</v>
      </c>
      <c r="E21" s="101">
        <f t="shared" si="13"/>
        <v>0</v>
      </c>
      <c r="F21" s="101">
        <v>0</v>
      </c>
      <c r="G21" s="102">
        <f t="shared" ref="G21:G33" si="14">F21-E21</f>
        <v>0</v>
      </c>
      <c r="H21" s="29" t="str">
        <f t="shared" si="8"/>
        <v>-</v>
      </c>
      <c r="I21" s="300"/>
      <c r="J21" s="101">
        <f t="shared" ref="J21" si="15">J22+J23+J24+J25+J26</f>
        <v>0</v>
      </c>
      <c r="K21" s="101">
        <v>0</v>
      </c>
      <c r="L21" s="102">
        <f t="shared" ref="L21:L26" si="16">K21-J21</f>
        <v>0</v>
      </c>
      <c r="M21" s="29" t="str">
        <f t="shared" si="9"/>
        <v>-</v>
      </c>
      <c r="N21" s="300"/>
      <c r="O21" s="101">
        <f t="shared" ref="O21" si="17">O22+O23+O24+O25+O26</f>
        <v>0</v>
      </c>
      <c r="P21" s="101">
        <v>0</v>
      </c>
      <c r="Q21" s="102">
        <f t="shared" ref="Q21:Q26" si="18">P21-O21</f>
        <v>0</v>
      </c>
      <c r="R21" s="29" t="str">
        <f t="shared" si="10"/>
        <v>-</v>
      </c>
      <c r="S21" s="300"/>
      <c r="T21" s="101">
        <f t="shared" ref="T21" si="19">T22+T23+T24+T25+T26</f>
        <v>0</v>
      </c>
      <c r="U21" s="101">
        <v>0</v>
      </c>
      <c r="V21" s="102">
        <f t="shared" ref="V21:V26" si="20">U21-T21</f>
        <v>0</v>
      </c>
      <c r="W21" s="29" t="str">
        <f t="shared" si="11"/>
        <v>-</v>
      </c>
      <c r="X21" s="300"/>
    </row>
    <row r="22" spans="1:24" ht="31.5" customHeight="1" x14ac:dyDescent="0.2">
      <c r="A22" s="33">
        <v>14100</v>
      </c>
      <c r="B22" s="67" t="s">
        <v>349</v>
      </c>
      <c r="C22" s="18"/>
      <c r="D22" s="18"/>
      <c r="E22" s="18"/>
      <c r="F22" s="18"/>
      <c r="G22" s="68">
        <f t="shared" si="14"/>
        <v>0</v>
      </c>
      <c r="H22" s="437" t="str">
        <f t="shared" si="8"/>
        <v>-</v>
      </c>
      <c r="I22" s="69"/>
      <c r="J22" s="18"/>
      <c r="K22" s="18"/>
      <c r="L22" s="68">
        <f t="shared" si="16"/>
        <v>0</v>
      </c>
      <c r="M22" s="437" t="str">
        <f t="shared" si="9"/>
        <v>-</v>
      </c>
      <c r="N22" s="69"/>
      <c r="O22" s="18"/>
      <c r="P22" s="18"/>
      <c r="Q22" s="68">
        <f t="shared" si="18"/>
        <v>0</v>
      </c>
      <c r="R22" s="437" t="str">
        <f t="shared" si="10"/>
        <v>-</v>
      </c>
      <c r="S22" s="69"/>
      <c r="T22" s="18"/>
      <c r="U22" s="18"/>
      <c r="V22" s="68">
        <f t="shared" si="20"/>
        <v>0</v>
      </c>
      <c r="W22" s="437" t="str">
        <f t="shared" si="11"/>
        <v>-</v>
      </c>
      <c r="X22" s="69"/>
    </row>
    <row r="23" spans="1:24" ht="48.75" customHeight="1" x14ac:dyDescent="0.2">
      <c r="A23" s="33">
        <v>14200</v>
      </c>
      <c r="B23" s="67" t="s">
        <v>350</v>
      </c>
      <c r="C23" s="18"/>
      <c r="D23" s="18"/>
      <c r="E23" s="18"/>
      <c r="F23" s="18"/>
      <c r="G23" s="68">
        <f t="shared" si="14"/>
        <v>0</v>
      </c>
      <c r="H23" s="437" t="str">
        <f t="shared" si="8"/>
        <v>-</v>
      </c>
      <c r="I23" s="69"/>
      <c r="J23" s="18"/>
      <c r="K23" s="18"/>
      <c r="L23" s="68">
        <f t="shared" si="16"/>
        <v>0</v>
      </c>
      <c r="M23" s="437" t="str">
        <f t="shared" si="9"/>
        <v>-</v>
      </c>
      <c r="N23" s="69"/>
      <c r="O23" s="18"/>
      <c r="P23" s="18"/>
      <c r="Q23" s="68">
        <f t="shared" si="18"/>
        <v>0</v>
      </c>
      <c r="R23" s="437" t="str">
        <f t="shared" si="10"/>
        <v>-</v>
      </c>
      <c r="S23" s="69"/>
      <c r="T23" s="18"/>
      <c r="U23" s="18"/>
      <c r="V23" s="68">
        <f t="shared" si="20"/>
        <v>0</v>
      </c>
      <c r="W23" s="437" t="str">
        <f t="shared" si="11"/>
        <v>-</v>
      </c>
      <c r="X23" s="69"/>
    </row>
    <row r="24" spans="1:24" ht="15.6" customHeight="1" x14ac:dyDescent="0.2">
      <c r="A24" s="33">
        <v>14300</v>
      </c>
      <c r="B24" s="15" t="s">
        <v>351</v>
      </c>
      <c r="C24" s="18"/>
      <c r="D24" s="18"/>
      <c r="E24" s="18"/>
      <c r="F24" s="18"/>
      <c r="G24" s="68">
        <f t="shared" si="14"/>
        <v>0</v>
      </c>
      <c r="H24" s="437" t="str">
        <f t="shared" si="8"/>
        <v>-</v>
      </c>
      <c r="I24" s="69"/>
      <c r="J24" s="18"/>
      <c r="K24" s="18"/>
      <c r="L24" s="68">
        <f t="shared" si="16"/>
        <v>0</v>
      </c>
      <c r="M24" s="437" t="str">
        <f t="shared" si="9"/>
        <v>-</v>
      </c>
      <c r="N24" s="69"/>
      <c r="O24" s="18"/>
      <c r="P24" s="18"/>
      <c r="Q24" s="68">
        <f t="shared" si="18"/>
        <v>0</v>
      </c>
      <c r="R24" s="437" t="str">
        <f t="shared" si="10"/>
        <v>-</v>
      </c>
      <c r="S24" s="69"/>
      <c r="T24" s="18"/>
      <c r="U24" s="18"/>
      <c r="V24" s="68">
        <f t="shared" si="20"/>
        <v>0</v>
      </c>
      <c r="W24" s="437" t="str">
        <f t="shared" si="11"/>
        <v>-</v>
      </c>
      <c r="X24" s="69"/>
    </row>
    <row r="25" spans="1:24" ht="15.6" customHeight="1" x14ac:dyDescent="0.2">
      <c r="A25" s="33">
        <v>14400</v>
      </c>
      <c r="B25" s="15" t="s">
        <v>352</v>
      </c>
      <c r="C25" s="18"/>
      <c r="D25" s="18"/>
      <c r="E25" s="18"/>
      <c r="F25" s="18"/>
      <c r="G25" s="68">
        <f t="shared" si="14"/>
        <v>0</v>
      </c>
      <c r="H25" s="437" t="str">
        <f t="shared" si="8"/>
        <v>-</v>
      </c>
      <c r="I25" s="69"/>
      <c r="J25" s="18"/>
      <c r="K25" s="18"/>
      <c r="L25" s="68">
        <f t="shared" si="16"/>
        <v>0</v>
      </c>
      <c r="M25" s="437" t="str">
        <f t="shared" si="9"/>
        <v>-</v>
      </c>
      <c r="N25" s="69"/>
      <c r="O25" s="18"/>
      <c r="P25" s="18"/>
      <c r="Q25" s="68">
        <f t="shared" si="18"/>
        <v>0</v>
      </c>
      <c r="R25" s="437" t="str">
        <f t="shared" si="10"/>
        <v>-</v>
      </c>
      <c r="S25" s="69"/>
      <c r="T25" s="18"/>
      <c r="U25" s="18"/>
      <c r="V25" s="68">
        <f t="shared" si="20"/>
        <v>0</v>
      </c>
      <c r="W25" s="437" t="str">
        <f t="shared" si="11"/>
        <v>-</v>
      </c>
      <c r="X25" s="69"/>
    </row>
    <row r="26" spans="1:24" ht="15.6" customHeight="1" x14ac:dyDescent="0.2">
      <c r="A26" s="33">
        <v>14500</v>
      </c>
      <c r="B26" s="15" t="s">
        <v>353</v>
      </c>
      <c r="C26" s="18"/>
      <c r="D26" s="18"/>
      <c r="E26" s="18"/>
      <c r="F26" s="18"/>
      <c r="G26" s="68">
        <f t="shared" si="14"/>
        <v>0</v>
      </c>
      <c r="H26" s="437" t="str">
        <f t="shared" si="8"/>
        <v>-</v>
      </c>
      <c r="I26" s="69"/>
      <c r="J26" s="18"/>
      <c r="K26" s="18"/>
      <c r="L26" s="68">
        <f t="shared" si="16"/>
        <v>0</v>
      </c>
      <c r="M26" s="437" t="str">
        <f t="shared" si="9"/>
        <v>-</v>
      </c>
      <c r="N26" s="69"/>
      <c r="O26" s="18"/>
      <c r="P26" s="18"/>
      <c r="Q26" s="68">
        <f t="shared" si="18"/>
        <v>0</v>
      </c>
      <c r="R26" s="437" t="str">
        <f t="shared" si="10"/>
        <v>-</v>
      </c>
      <c r="S26" s="69"/>
      <c r="T26" s="18"/>
      <c r="U26" s="18"/>
      <c r="V26" s="68">
        <f t="shared" si="20"/>
        <v>0</v>
      </c>
      <c r="W26" s="437" t="str">
        <f t="shared" si="11"/>
        <v>-</v>
      </c>
      <c r="X26" s="69"/>
    </row>
    <row r="27" spans="1:24" ht="15.6" customHeight="1" x14ac:dyDescent="0.2">
      <c r="A27" s="99">
        <v>15000</v>
      </c>
      <c r="B27" s="103" t="s">
        <v>354</v>
      </c>
      <c r="C27" s="101">
        <f>C28+C29+C33</f>
        <v>1908350.74</v>
      </c>
      <c r="D27" s="101">
        <f t="shared" ref="D27:I27" si="21">D28+D29+D33</f>
        <v>1019130</v>
      </c>
      <c r="E27" s="101">
        <f t="shared" si="21"/>
        <v>344725</v>
      </c>
      <c r="F27" s="101">
        <f t="shared" si="21"/>
        <v>0</v>
      </c>
      <c r="G27" s="101">
        <f t="shared" si="21"/>
        <v>-344725</v>
      </c>
      <c r="H27" s="29">
        <f t="shared" si="8"/>
        <v>-1</v>
      </c>
      <c r="I27" s="101">
        <f t="shared" si="21"/>
        <v>0</v>
      </c>
      <c r="J27" s="101">
        <f t="shared" ref="J27:L27" si="22">J28+J29+J33</f>
        <v>659130</v>
      </c>
      <c r="K27" s="101">
        <f t="shared" si="22"/>
        <v>0</v>
      </c>
      <c r="L27" s="101">
        <f t="shared" si="22"/>
        <v>-659130</v>
      </c>
      <c r="M27" s="29">
        <f t="shared" si="9"/>
        <v>-1</v>
      </c>
      <c r="N27" s="101">
        <f t="shared" ref="N27:Q27" si="23">N28+N29+N33</f>
        <v>0</v>
      </c>
      <c r="O27" s="101">
        <f t="shared" si="23"/>
        <v>809130</v>
      </c>
      <c r="P27" s="101">
        <f t="shared" si="23"/>
        <v>0</v>
      </c>
      <c r="Q27" s="101">
        <f t="shared" si="23"/>
        <v>-809130</v>
      </c>
      <c r="R27" s="29">
        <f t="shared" si="10"/>
        <v>-1</v>
      </c>
      <c r="S27" s="101">
        <f t="shared" ref="S27:V27" si="24">S28+S29+S33</f>
        <v>0</v>
      </c>
      <c r="T27" s="101">
        <f>T28+T29+T33</f>
        <v>1019130</v>
      </c>
      <c r="U27" s="101">
        <f t="shared" si="24"/>
        <v>0</v>
      </c>
      <c r="V27" s="101">
        <f t="shared" si="24"/>
        <v>-1019130</v>
      </c>
      <c r="W27" s="29">
        <f t="shared" si="11"/>
        <v>-1</v>
      </c>
      <c r="X27" s="101">
        <f t="shared" ref="X27" si="25">X28+X29+X33</f>
        <v>0</v>
      </c>
    </row>
    <row r="28" spans="1:24" ht="48.75" customHeight="1" x14ac:dyDescent="0.2">
      <c r="A28" s="33">
        <v>15100</v>
      </c>
      <c r="B28" s="67" t="s">
        <v>355</v>
      </c>
      <c r="C28" s="18"/>
      <c r="D28" s="18"/>
      <c r="E28" s="18"/>
      <c r="F28" s="18"/>
      <c r="G28" s="68">
        <f t="shared" si="14"/>
        <v>0</v>
      </c>
      <c r="H28" s="437" t="str">
        <f t="shared" si="8"/>
        <v>-</v>
      </c>
      <c r="I28" s="70"/>
      <c r="J28" s="18"/>
      <c r="K28" s="18"/>
      <c r="L28" s="68">
        <f t="shared" ref="L28" si="26">K28-J28</f>
        <v>0</v>
      </c>
      <c r="M28" s="437" t="str">
        <f t="shared" si="9"/>
        <v>-</v>
      </c>
      <c r="N28" s="70"/>
      <c r="O28" s="18"/>
      <c r="P28" s="18"/>
      <c r="Q28" s="68">
        <f t="shared" ref="Q28" si="27">P28-O28</f>
        <v>0</v>
      </c>
      <c r="R28" s="437" t="str">
        <f t="shared" si="10"/>
        <v>-</v>
      </c>
      <c r="S28" s="70"/>
      <c r="T28" s="18"/>
      <c r="U28" s="18"/>
      <c r="V28" s="68">
        <f t="shared" ref="V28" si="28">U28-T28</f>
        <v>0</v>
      </c>
      <c r="W28" s="437" t="str">
        <f t="shared" si="11"/>
        <v>-</v>
      </c>
      <c r="X28" s="70"/>
    </row>
    <row r="29" spans="1:24" ht="32.25" customHeight="1" x14ac:dyDescent="0.2">
      <c r="A29" s="33">
        <v>15200</v>
      </c>
      <c r="B29" s="67" t="s">
        <v>356</v>
      </c>
      <c r="C29" s="71">
        <f t="shared" ref="C29" si="29">C31+C30+C32</f>
        <v>1908350.74</v>
      </c>
      <c r="D29" s="71">
        <f>D30+D31+D32</f>
        <v>1019130</v>
      </c>
      <c r="E29" s="71">
        <f t="shared" ref="E29:I29" si="30">E31+E30+E32</f>
        <v>344725</v>
      </c>
      <c r="F29" s="71"/>
      <c r="G29" s="438">
        <f t="shared" si="30"/>
        <v>-344725</v>
      </c>
      <c r="H29" s="437">
        <f t="shared" si="8"/>
        <v>-1</v>
      </c>
      <c r="I29" s="71">
        <f t="shared" si="30"/>
        <v>0</v>
      </c>
      <c r="J29" s="71">
        <f t="shared" ref="J29" si="31">J31+J30+J32</f>
        <v>659130</v>
      </c>
      <c r="K29" s="71"/>
      <c r="L29" s="438">
        <f t="shared" ref="L29" si="32">L31+L30+L32</f>
        <v>-659130</v>
      </c>
      <c r="M29" s="437">
        <f t="shared" si="9"/>
        <v>-1</v>
      </c>
      <c r="N29" s="71">
        <f t="shared" ref="N29:O29" si="33">N31+N30+N32</f>
        <v>0</v>
      </c>
      <c r="O29" s="71">
        <f t="shared" si="33"/>
        <v>809130</v>
      </c>
      <c r="P29" s="71"/>
      <c r="Q29" s="438">
        <f t="shared" ref="Q29" si="34">Q31+Q30+Q32</f>
        <v>-809130</v>
      </c>
      <c r="R29" s="437">
        <f t="shared" si="10"/>
        <v>-1</v>
      </c>
      <c r="S29" s="71">
        <f t="shared" ref="S29:T29" si="35">S31+S30+S32</f>
        <v>0</v>
      </c>
      <c r="T29" s="71">
        <f t="shared" si="35"/>
        <v>1019130</v>
      </c>
      <c r="U29" s="71"/>
      <c r="V29" s="438">
        <f t="shared" ref="V29" si="36">V31+V30+V32</f>
        <v>-1019130</v>
      </c>
      <c r="W29" s="437">
        <f t="shared" si="11"/>
        <v>-1</v>
      </c>
      <c r="X29" s="71">
        <f t="shared" ref="X29" si="37">X31+X30+X32</f>
        <v>0</v>
      </c>
    </row>
    <row r="30" spans="1:24" x14ac:dyDescent="0.2">
      <c r="A30" s="73">
        <v>15210</v>
      </c>
      <c r="B30" s="74" t="s">
        <v>357</v>
      </c>
      <c r="C30" s="75">
        <v>314600</v>
      </c>
      <c r="D30" s="75"/>
      <c r="E30" s="75"/>
      <c r="F30" s="71"/>
      <c r="G30" s="76">
        <f t="shared" si="14"/>
        <v>0</v>
      </c>
      <c r="H30" s="437" t="str">
        <f t="shared" si="8"/>
        <v>-</v>
      </c>
      <c r="I30" s="77"/>
      <c r="J30" s="75"/>
      <c r="K30" s="71"/>
      <c r="L30" s="76">
        <f t="shared" ref="L30:L33" si="38">K30-J30</f>
        <v>0</v>
      </c>
      <c r="M30" s="437" t="str">
        <f t="shared" si="9"/>
        <v>-</v>
      </c>
      <c r="N30" s="77"/>
      <c r="O30" s="75"/>
      <c r="P30" s="71"/>
      <c r="Q30" s="76">
        <f t="shared" ref="Q30:Q33" si="39">P30-O30</f>
        <v>0</v>
      </c>
      <c r="R30" s="437" t="str">
        <f t="shared" si="10"/>
        <v>-</v>
      </c>
      <c r="S30" s="77"/>
      <c r="T30" s="75"/>
      <c r="U30" s="71"/>
      <c r="V30" s="76">
        <f t="shared" ref="V30:V33" si="40">U30-T30</f>
        <v>0</v>
      </c>
      <c r="W30" s="437" t="str">
        <f t="shared" si="11"/>
        <v>-</v>
      </c>
      <c r="X30" s="77"/>
    </row>
    <row r="31" spans="1:24" x14ac:dyDescent="0.2">
      <c r="A31" s="73">
        <v>15220</v>
      </c>
      <c r="B31" s="74" t="s">
        <v>358</v>
      </c>
      <c r="C31" s="75">
        <f>1908350.74-314600</f>
        <v>1593750.74</v>
      </c>
      <c r="D31" s="71">
        <v>860000</v>
      </c>
      <c r="E31" s="71">
        <v>344725</v>
      </c>
      <c r="F31" s="71"/>
      <c r="G31" s="533">
        <f t="shared" si="14"/>
        <v>-344725</v>
      </c>
      <c r="H31" s="437">
        <f t="shared" si="8"/>
        <v>-1</v>
      </c>
      <c r="I31" s="77"/>
      <c r="J31" s="71">
        <v>500000</v>
      </c>
      <c r="K31" s="71"/>
      <c r="L31" s="533">
        <f t="shared" si="38"/>
        <v>-500000</v>
      </c>
      <c r="M31" s="437">
        <f t="shared" si="9"/>
        <v>-1</v>
      </c>
      <c r="N31" s="77"/>
      <c r="O31" s="71">
        <v>650000</v>
      </c>
      <c r="P31" s="71"/>
      <c r="Q31" s="533">
        <f t="shared" si="39"/>
        <v>-650000</v>
      </c>
      <c r="R31" s="437">
        <f t="shared" si="10"/>
        <v>-1</v>
      </c>
      <c r="S31" s="77"/>
      <c r="T31" s="71">
        <v>860000</v>
      </c>
      <c r="U31" s="71"/>
      <c r="V31" s="76">
        <f t="shared" si="40"/>
        <v>-860000</v>
      </c>
      <c r="W31" s="437">
        <f t="shared" si="11"/>
        <v>-1</v>
      </c>
      <c r="X31" s="77"/>
    </row>
    <row r="32" spans="1:24" x14ac:dyDescent="0.2">
      <c r="A32" s="73">
        <v>15230</v>
      </c>
      <c r="B32" s="74" t="s">
        <v>359</v>
      </c>
      <c r="C32" s="75">
        <v>0</v>
      </c>
      <c r="D32" s="75">
        <f>159130</f>
        <v>159130</v>
      </c>
      <c r="E32" s="75"/>
      <c r="F32" s="71"/>
      <c r="G32" s="76">
        <f t="shared" si="14"/>
        <v>0</v>
      </c>
      <c r="H32" s="437" t="str">
        <f t="shared" si="8"/>
        <v>-</v>
      </c>
      <c r="I32" s="78"/>
      <c r="J32" s="75">
        <f>159130</f>
        <v>159130</v>
      </c>
      <c r="K32" s="71"/>
      <c r="L32" s="76">
        <f t="shared" si="38"/>
        <v>-159130</v>
      </c>
      <c r="M32" s="437">
        <f t="shared" si="9"/>
        <v>-1</v>
      </c>
      <c r="N32" s="78"/>
      <c r="O32" s="75">
        <f>159130</f>
        <v>159130</v>
      </c>
      <c r="P32" s="71"/>
      <c r="Q32" s="76">
        <f t="shared" si="39"/>
        <v>-159130</v>
      </c>
      <c r="R32" s="437">
        <f t="shared" si="10"/>
        <v>-1</v>
      </c>
      <c r="S32" s="78"/>
      <c r="T32" s="75">
        <f>159130</f>
        <v>159130</v>
      </c>
      <c r="U32" s="71"/>
      <c r="V32" s="76">
        <f t="shared" si="40"/>
        <v>-159130</v>
      </c>
      <c r="W32" s="437">
        <f t="shared" si="11"/>
        <v>-1</v>
      </c>
      <c r="X32" s="78"/>
    </row>
    <row r="33" spans="1:24" ht="15.6" customHeight="1" x14ac:dyDescent="0.2">
      <c r="A33" s="33">
        <v>15300</v>
      </c>
      <c r="B33" s="67" t="s">
        <v>360</v>
      </c>
      <c r="C33" s="18">
        <v>0</v>
      </c>
      <c r="D33" s="18">
        <v>0</v>
      </c>
      <c r="E33" s="18">
        <v>0</v>
      </c>
      <c r="F33" s="18"/>
      <c r="G33" s="68">
        <f t="shared" si="14"/>
        <v>0</v>
      </c>
      <c r="H33" s="437" t="str">
        <f t="shared" si="8"/>
        <v>-</v>
      </c>
      <c r="I33" s="78"/>
      <c r="J33" s="18">
        <v>0</v>
      </c>
      <c r="K33" s="18"/>
      <c r="L33" s="68">
        <f t="shared" si="38"/>
        <v>0</v>
      </c>
      <c r="M33" s="437" t="str">
        <f t="shared" si="9"/>
        <v>-</v>
      </c>
      <c r="N33" s="78"/>
      <c r="O33" s="18">
        <v>0</v>
      </c>
      <c r="P33" s="18"/>
      <c r="Q33" s="68">
        <f t="shared" si="39"/>
        <v>0</v>
      </c>
      <c r="R33" s="437" t="str">
        <f t="shared" si="10"/>
        <v>-</v>
      </c>
      <c r="S33" s="78"/>
      <c r="T33" s="18">
        <v>0</v>
      </c>
      <c r="U33" s="18"/>
      <c r="V33" s="68">
        <f t="shared" si="40"/>
        <v>0</v>
      </c>
      <c r="W33" s="437" t="str">
        <f t="shared" si="11"/>
        <v>-</v>
      </c>
      <c r="X33" s="78"/>
    </row>
    <row r="34" spans="1:24" ht="30.6" customHeight="1" x14ac:dyDescent="0.2">
      <c r="A34" s="104">
        <v>16000</v>
      </c>
      <c r="B34" s="105" t="s">
        <v>361</v>
      </c>
      <c r="C34" s="106">
        <f>C21-C27</f>
        <v>-1908350.74</v>
      </c>
      <c r="D34" s="106">
        <f t="shared" ref="D34:I34" si="41">D21-D27</f>
        <v>-1019130</v>
      </c>
      <c r="E34" s="106">
        <f t="shared" si="41"/>
        <v>-344725</v>
      </c>
      <c r="F34" s="106">
        <f t="shared" si="41"/>
        <v>0</v>
      </c>
      <c r="G34" s="106">
        <f t="shared" si="41"/>
        <v>344725</v>
      </c>
      <c r="H34" s="29">
        <f t="shared" si="8"/>
        <v>1</v>
      </c>
      <c r="I34" s="106">
        <f t="shared" si="41"/>
        <v>0</v>
      </c>
      <c r="J34" s="555">
        <f t="shared" ref="J34:L34" si="42">J21-J27</f>
        <v>-659130</v>
      </c>
      <c r="K34" s="555">
        <f t="shared" si="42"/>
        <v>0</v>
      </c>
      <c r="L34" s="555">
        <f t="shared" si="42"/>
        <v>659130</v>
      </c>
      <c r="M34" s="556">
        <f t="shared" si="9"/>
        <v>1</v>
      </c>
      <c r="N34" s="555">
        <f t="shared" ref="N34:Q34" si="43">N21-N27</f>
        <v>0</v>
      </c>
      <c r="O34" s="555">
        <f t="shared" si="43"/>
        <v>-809130</v>
      </c>
      <c r="P34" s="555">
        <f t="shared" si="43"/>
        <v>0</v>
      </c>
      <c r="Q34" s="555">
        <f t="shared" si="43"/>
        <v>809130</v>
      </c>
      <c r="R34" s="556">
        <f t="shared" si="10"/>
        <v>1</v>
      </c>
      <c r="S34" s="555">
        <f t="shared" ref="S34:V34" si="44">S21-S27</f>
        <v>0</v>
      </c>
      <c r="T34" s="555">
        <f t="shared" si="44"/>
        <v>-1019130</v>
      </c>
      <c r="U34" s="106">
        <f t="shared" si="44"/>
        <v>0</v>
      </c>
      <c r="V34" s="106">
        <f t="shared" si="44"/>
        <v>1019130</v>
      </c>
      <c r="W34" s="29">
        <f t="shared" si="11"/>
        <v>1</v>
      </c>
      <c r="X34" s="106">
        <f t="shared" ref="X34" si="45">X21-X27</f>
        <v>0</v>
      </c>
    </row>
    <row r="35" spans="1:24" ht="15.6" customHeight="1" x14ac:dyDescent="0.2">
      <c r="A35" s="294" t="s">
        <v>362</v>
      </c>
      <c r="B35" s="805" t="s">
        <v>363</v>
      </c>
      <c r="C35" s="805"/>
      <c r="D35" s="805"/>
      <c r="E35" s="806"/>
      <c r="F35" s="806"/>
      <c r="G35" s="806"/>
      <c r="H35" s="298" t="str">
        <f t="shared" si="1"/>
        <v>-</v>
      </c>
      <c r="I35" s="296"/>
      <c r="J35" s="297"/>
      <c r="K35" s="297"/>
      <c r="L35" s="297"/>
      <c r="M35" s="298" t="str">
        <f t="shared" si="9"/>
        <v>-</v>
      </c>
      <c r="N35" s="296"/>
      <c r="O35" s="297"/>
      <c r="P35" s="297"/>
      <c r="Q35" s="297"/>
      <c r="R35" s="298" t="str">
        <f t="shared" si="10"/>
        <v>-</v>
      </c>
      <c r="S35" s="296"/>
      <c r="T35" s="297"/>
      <c r="U35" s="297"/>
      <c r="V35" s="297"/>
      <c r="W35" s="298" t="str">
        <f t="shared" si="11"/>
        <v>-</v>
      </c>
      <c r="X35" s="296"/>
    </row>
    <row r="36" spans="1:24" ht="15.6" customHeight="1" x14ac:dyDescent="0.2">
      <c r="A36" s="107">
        <v>17000</v>
      </c>
      <c r="B36" s="108" t="s">
        <v>364</v>
      </c>
      <c r="C36" s="109">
        <f t="shared" ref="C36" si="46">C37+C38+C39</f>
        <v>1934195</v>
      </c>
      <c r="D36" s="109">
        <f>D37+D38+D39</f>
        <v>815455</v>
      </c>
      <c r="E36" s="557">
        <f>E37+E38+E39</f>
        <v>720464.49</v>
      </c>
      <c r="F36" s="557">
        <v>0</v>
      </c>
      <c r="G36" s="558">
        <f t="shared" ref="G36:G54" si="47">F36-E36</f>
        <v>-720464.49</v>
      </c>
      <c r="H36" s="559">
        <f t="shared" si="1"/>
        <v>-1</v>
      </c>
      <c r="I36" s="560"/>
      <c r="J36" s="557">
        <f>J37+J38+J39</f>
        <v>0</v>
      </c>
      <c r="K36" s="557">
        <v>0</v>
      </c>
      <c r="L36" s="558">
        <f t="shared" ref="L36:L54" si="48">K36-J36</f>
        <v>0</v>
      </c>
      <c r="M36" s="559" t="str">
        <f t="shared" si="9"/>
        <v>-</v>
      </c>
      <c r="N36" s="560"/>
      <c r="O36" s="557">
        <f>O37+O38+O39</f>
        <v>0</v>
      </c>
      <c r="P36" s="557">
        <v>0</v>
      </c>
      <c r="Q36" s="558">
        <f t="shared" ref="Q36:Q54" si="49">P36-O36</f>
        <v>0</v>
      </c>
      <c r="R36" s="559" t="str">
        <f t="shared" si="10"/>
        <v>-</v>
      </c>
      <c r="S36" s="560"/>
      <c r="T36" s="557">
        <f>T37+T38+T39</f>
        <v>815455</v>
      </c>
      <c r="U36" s="109">
        <v>0</v>
      </c>
      <c r="V36" s="110">
        <f t="shared" ref="V36:V54" si="50">U36-T36</f>
        <v>-815455</v>
      </c>
      <c r="W36" s="97">
        <f t="shared" si="11"/>
        <v>-1</v>
      </c>
      <c r="X36" s="299"/>
    </row>
    <row r="37" spans="1:24" ht="45" customHeight="1" x14ac:dyDescent="0.2">
      <c r="A37" s="79">
        <v>17100</v>
      </c>
      <c r="B37" s="80" t="s">
        <v>365</v>
      </c>
      <c r="C37" s="81"/>
      <c r="D37" s="81"/>
      <c r="E37" s="561"/>
      <c r="F37" s="561"/>
      <c r="G37" s="562">
        <f t="shared" si="47"/>
        <v>0</v>
      </c>
      <c r="H37" s="563" t="str">
        <f t="shared" si="1"/>
        <v>-</v>
      </c>
      <c r="I37" s="564"/>
      <c r="J37" s="561"/>
      <c r="K37" s="561"/>
      <c r="L37" s="562">
        <f t="shared" si="48"/>
        <v>0</v>
      </c>
      <c r="M37" s="563" t="str">
        <f t="shared" si="9"/>
        <v>-</v>
      </c>
      <c r="N37" s="564"/>
      <c r="O37" s="561"/>
      <c r="P37" s="561"/>
      <c r="Q37" s="562">
        <f t="shared" si="49"/>
        <v>0</v>
      </c>
      <c r="R37" s="563" t="str">
        <f t="shared" si="10"/>
        <v>-</v>
      </c>
      <c r="S37" s="564"/>
      <c r="T37" s="561"/>
      <c r="U37" s="81"/>
      <c r="V37" s="82">
        <f t="shared" si="50"/>
        <v>0</v>
      </c>
      <c r="W37" s="28" t="str">
        <f t="shared" si="11"/>
        <v>-</v>
      </c>
      <c r="X37" s="83"/>
    </row>
    <row r="38" spans="1:24" ht="15.6" customHeight="1" x14ac:dyDescent="0.2">
      <c r="A38" s="79">
        <v>17200</v>
      </c>
      <c r="B38" s="80" t="s">
        <v>366</v>
      </c>
      <c r="C38" s="81"/>
      <c r="D38" s="81"/>
      <c r="E38" s="81"/>
      <c r="F38" s="81"/>
      <c r="G38" s="82">
        <f t="shared" si="47"/>
        <v>0</v>
      </c>
      <c r="H38" s="28" t="str">
        <f t="shared" si="1"/>
        <v>-</v>
      </c>
      <c r="I38" s="83"/>
      <c r="J38" s="81"/>
      <c r="K38" s="81"/>
      <c r="L38" s="82">
        <f t="shared" si="48"/>
        <v>0</v>
      </c>
      <c r="M38" s="28" t="str">
        <f t="shared" si="9"/>
        <v>-</v>
      </c>
      <c r="N38" s="83"/>
      <c r="O38" s="81"/>
      <c r="P38" s="81"/>
      <c r="Q38" s="82">
        <f t="shared" si="49"/>
        <v>0</v>
      </c>
      <c r="R38" s="28" t="str">
        <f t="shared" si="10"/>
        <v>-</v>
      </c>
      <c r="S38" s="83"/>
      <c r="T38" s="81"/>
      <c r="U38" s="81"/>
      <c r="V38" s="82">
        <f t="shared" si="50"/>
        <v>0</v>
      </c>
      <c r="W38" s="28" t="str">
        <f t="shared" si="11"/>
        <v>-</v>
      </c>
      <c r="X38" s="83"/>
    </row>
    <row r="39" spans="1:24" ht="26.25" customHeight="1" x14ac:dyDescent="0.2">
      <c r="A39" s="49">
        <v>17300</v>
      </c>
      <c r="B39" s="50" t="s">
        <v>367</v>
      </c>
      <c r="C39" s="51">
        <v>1934195</v>
      </c>
      <c r="D39" s="174">
        <v>815455</v>
      </c>
      <c r="E39" s="174">
        <v>720464.49</v>
      </c>
      <c r="F39" s="174"/>
      <c r="G39" s="175">
        <f t="shared" si="47"/>
        <v>-720464.49</v>
      </c>
      <c r="H39" s="176">
        <f t="shared" si="1"/>
        <v>-1</v>
      </c>
      <c r="I39" s="113"/>
      <c r="J39" s="174"/>
      <c r="K39" s="174"/>
      <c r="L39" s="175">
        <f t="shared" si="48"/>
        <v>0</v>
      </c>
      <c r="M39" s="176" t="str">
        <f t="shared" si="9"/>
        <v>-</v>
      </c>
      <c r="N39" s="113"/>
      <c r="O39" s="174"/>
      <c r="P39" s="174"/>
      <c r="Q39" s="175">
        <f t="shared" si="49"/>
        <v>0</v>
      </c>
      <c r="R39" s="176" t="str">
        <f t="shared" si="10"/>
        <v>-</v>
      </c>
      <c r="S39" s="113"/>
      <c r="T39" s="174">
        <v>815455</v>
      </c>
      <c r="U39" s="51"/>
      <c r="V39" s="52">
        <f t="shared" si="50"/>
        <v>-815455</v>
      </c>
      <c r="W39" s="53">
        <f t="shared" si="11"/>
        <v>-1</v>
      </c>
      <c r="X39" s="113"/>
    </row>
    <row r="40" spans="1:24" ht="15.6" customHeight="1" x14ac:dyDescent="0.2">
      <c r="A40" s="111">
        <v>18000</v>
      </c>
      <c r="B40" s="103" t="s">
        <v>368</v>
      </c>
      <c r="C40" s="93">
        <f t="shared" ref="C40" si="51">C41+C42+C43</f>
        <v>0</v>
      </c>
      <c r="D40" s="93">
        <f t="shared" ref="D40:E40" si="52">D41+D42+D43</f>
        <v>0</v>
      </c>
      <c r="E40" s="93">
        <f t="shared" si="52"/>
        <v>0</v>
      </c>
      <c r="F40" s="93">
        <v>0</v>
      </c>
      <c r="G40" s="96">
        <f t="shared" si="47"/>
        <v>0</v>
      </c>
      <c r="H40" s="97" t="str">
        <f t="shared" si="1"/>
        <v>-</v>
      </c>
      <c r="I40" s="299"/>
      <c r="J40" s="93">
        <f t="shared" ref="J40" si="53">J41+J42+J43</f>
        <v>0</v>
      </c>
      <c r="K40" s="93">
        <v>0</v>
      </c>
      <c r="L40" s="96">
        <f t="shared" si="48"/>
        <v>0</v>
      </c>
      <c r="M40" s="97" t="str">
        <f t="shared" si="9"/>
        <v>-</v>
      </c>
      <c r="N40" s="299"/>
      <c r="O40" s="93">
        <f t="shared" ref="O40" si="54">O41+O42+O43</f>
        <v>0</v>
      </c>
      <c r="P40" s="93">
        <v>0</v>
      </c>
      <c r="Q40" s="96">
        <f t="shared" si="49"/>
        <v>0</v>
      </c>
      <c r="R40" s="97" t="str">
        <f t="shared" si="10"/>
        <v>-</v>
      </c>
      <c r="S40" s="299"/>
      <c r="T40" s="93">
        <f t="shared" ref="T40" si="55">T41+T42+T43</f>
        <v>0</v>
      </c>
      <c r="U40" s="93">
        <v>0</v>
      </c>
      <c r="V40" s="96">
        <f t="shared" si="50"/>
        <v>0</v>
      </c>
      <c r="W40" s="97" t="str">
        <f t="shared" si="11"/>
        <v>-</v>
      </c>
      <c r="X40" s="299"/>
    </row>
    <row r="41" spans="1:24" ht="35.25" customHeight="1" x14ac:dyDescent="0.2">
      <c r="A41" s="84">
        <v>18100</v>
      </c>
      <c r="B41" s="15" t="s">
        <v>369</v>
      </c>
      <c r="C41" s="81"/>
      <c r="D41" s="81"/>
      <c r="E41" s="81"/>
      <c r="F41" s="81"/>
      <c r="G41" s="82">
        <f t="shared" si="47"/>
        <v>0</v>
      </c>
      <c r="H41" s="28" t="str">
        <f t="shared" si="1"/>
        <v>-</v>
      </c>
      <c r="I41" s="85"/>
      <c r="J41" s="81"/>
      <c r="K41" s="81"/>
      <c r="L41" s="82">
        <f t="shared" si="48"/>
        <v>0</v>
      </c>
      <c r="M41" s="28" t="str">
        <f t="shared" si="9"/>
        <v>-</v>
      </c>
      <c r="N41" s="85"/>
      <c r="O41" s="81"/>
      <c r="P41" s="81"/>
      <c r="Q41" s="82">
        <f t="shared" si="49"/>
        <v>0</v>
      </c>
      <c r="R41" s="28" t="str">
        <f t="shared" si="10"/>
        <v>-</v>
      </c>
      <c r="S41" s="85"/>
      <c r="T41" s="81"/>
      <c r="U41" s="81"/>
      <c r="V41" s="82">
        <f t="shared" si="50"/>
        <v>0</v>
      </c>
      <c r="W41" s="28" t="str">
        <f t="shared" si="11"/>
        <v>-</v>
      </c>
      <c r="X41" s="85"/>
    </row>
    <row r="42" spans="1:24" ht="33" customHeight="1" x14ac:dyDescent="0.2">
      <c r="A42" s="84">
        <v>18200</v>
      </c>
      <c r="B42" s="15" t="s">
        <v>370</v>
      </c>
      <c r="C42" s="81"/>
      <c r="D42" s="81"/>
      <c r="E42" s="81"/>
      <c r="F42" s="81"/>
      <c r="G42" s="82">
        <f t="shared" si="47"/>
        <v>0</v>
      </c>
      <c r="H42" s="28" t="str">
        <f t="shared" si="1"/>
        <v>-</v>
      </c>
      <c r="I42" s="85"/>
      <c r="J42" s="81"/>
      <c r="K42" s="81"/>
      <c r="L42" s="82">
        <f t="shared" si="48"/>
        <v>0</v>
      </c>
      <c r="M42" s="28" t="str">
        <f t="shared" si="9"/>
        <v>-</v>
      </c>
      <c r="N42" s="85"/>
      <c r="O42" s="81"/>
      <c r="P42" s="81"/>
      <c r="Q42" s="82">
        <f t="shared" si="49"/>
        <v>0</v>
      </c>
      <c r="R42" s="28" t="str">
        <f t="shared" si="10"/>
        <v>-</v>
      </c>
      <c r="S42" s="85"/>
      <c r="T42" s="81"/>
      <c r="U42" s="81"/>
      <c r="V42" s="82">
        <f t="shared" si="50"/>
        <v>0</v>
      </c>
      <c r="W42" s="28" t="str">
        <f t="shared" si="11"/>
        <v>-</v>
      </c>
      <c r="X42" s="85"/>
    </row>
    <row r="43" spans="1:24" ht="15.6" customHeight="1" x14ac:dyDescent="0.2">
      <c r="A43" s="84">
        <v>18300</v>
      </c>
      <c r="B43" s="15" t="s">
        <v>371</v>
      </c>
      <c r="C43" s="81"/>
      <c r="D43" s="81"/>
      <c r="E43" s="81"/>
      <c r="F43" s="81"/>
      <c r="G43" s="82">
        <f t="shared" si="47"/>
        <v>0</v>
      </c>
      <c r="H43" s="28" t="str">
        <f t="shared" si="1"/>
        <v>-</v>
      </c>
      <c r="I43" s="85"/>
      <c r="J43" s="81"/>
      <c r="K43" s="81"/>
      <c r="L43" s="82">
        <f t="shared" si="48"/>
        <v>0</v>
      </c>
      <c r="M43" s="28" t="str">
        <f t="shared" si="9"/>
        <v>-</v>
      </c>
      <c r="N43" s="85"/>
      <c r="O43" s="81"/>
      <c r="P43" s="81"/>
      <c r="Q43" s="82">
        <f t="shared" si="49"/>
        <v>0</v>
      </c>
      <c r="R43" s="28" t="str">
        <f t="shared" si="10"/>
        <v>-</v>
      </c>
      <c r="S43" s="85"/>
      <c r="T43" s="81"/>
      <c r="U43" s="81"/>
      <c r="V43" s="82">
        <f t="shared" si="50"/>
        <v>0</v>
      </c>
      <c r="W43" s="28" t="str">
        <f t="shared" si="11"/>
        <v>-</v>
      </c>
      <c r="X43" s="85"/>
    </row>
    <row r="44" spans="1:24" ht="30.6" customHeight="1" x14ac:dyDescent="0.2">
      <c r="A44" s="92">
        <v>19000</v>
      </c>
      <c r="B44" s="112" t="s">
        <v>372</v>
      </c>
      <c r="C44" s="93">
        <f>C36-C40</f>
        <v>1934195</v>
      </c>
      <c r="D44" s="93">
        <f>D36-D40</f>
        <v>815455</v>
      </c>
      <c r="E44" s="93">
        <f>E36-E40</f>
        <v>720464.49</v>
      </c>
      <c r="F44" s="93">
        <v>0</v>
      </c>
      <c r="G44" s="96">
        <f t="shared" si="47"/>
        <v>-720464.49</v>
      </c>
      <c r="H44" s="97">
        <f t="shared" si="1"/>
        <v>-1</v>
      </c>
      <c r="I44" s="299"/>
      <c r="J44" s="93">
        <f>J36-J40</f>
        <v>0</v>
      </c>
      <c r="K44" s="93">
        <v>0</v>
      </c>
      <c r="L44" s="96">
        <f t="shared" si="48"/>
        <v>0</v>
      </c>
      <c r="M44" s="97" t="str">
        <f t="shared" si="9"/>
        <v>-</v>
      </c>
      <c r="N44" s="299"/>
      <c r="O44" s="93">
        <f>O36-O40</f>
        <v>0</v>
      </c>
      <c r="P44" s="93">
        <v>0</v>
      </c>
      <c r="Q44" s="96">
        <f t="shared" si="49"/>
        <v>0</v>
      </c>
      <c r="R44" s="97" t="str">
        <f t="shared" si="10"/>
        <v>-</v>
      </c>
      <c r="S44" s="299"/>
      <c r="T44" s="93">
        <f>T36-T40</f>
        <v>815455</v>
      </c>
      <c r="U44" s="93">
        <v>0</v>
      </c>
      <c r="V44" s="96">
        <f t="shared" si="50"/>
        <v>-815455</v>
      </c>
      <c r="W44" s="97">
        <f t="shared" si="11"/>
        <v>-1</v>
      </c>
      <c r="X44" s="299"/>
    </row>
    <row r="45" spans="1:24" ht="32.25" customHeight="1" x14ac:dyDescent="0.2">
      <c r="A45" s="86">
        <v>20100</v>
      </c>
      <c r="B45" s="87" t="s">
        <v>373</v>
      </c>
      <c r="C45" s="88"/>
      <c r="D45" s="89"/>
      <c r="E45" s="88"/>
      <c r="F45" s="88"/>
      <c r="G45" s="90">
        <f t="shared" si="47"/>
        <v>0</v>
      </c>
      <c r="H45" s="91" t="str">
        <f t="shared" si="1"/>
        <v>-</v>
      </c>
      <c r="I45" s="83"/>
      <c r="J45" s="88"/>
      <c r="K45" s="88"/>
      <c r="L45" s="90">
        <f t="shared" si="48"/>
        <v>0</v>
      </c>
      <c r="M45" s="91" t="str">
        <f t="shared" si="9"/>
        <v>-</v>
      </c>
      <c r="N45" s="83"/>
      <c r="O45" s="88"/>
      <c r="P45" s="88"/>
      <c r="Q45" s="90">
        <f t="shared" si="49"/>
        <v>0</v>
      </c>
      <c r="R45" s="91" t="str">
        <f t="shared" si="10"/>
        <v>-</v>
      </c>
      <c r="S45" s="83"/>
      <c r="T45" s="88"/>
      <c r="U45" s="88"/>
      <c r="V45" s="90">
        <f t="shared" si="50"/>
        <v>0</v>
      </c>
      <c r="W45" s="91" t="str">
        <f t="shared" si="11"/>
        <v>-</v>
      </c>
      <c r="X45" s="83"/>
    </row>
    <row r="46" spans="1:24" ht="31.5" customHeight="1" x14ac:dyDescent="0.2">
      <c r="A46" s="86">
        <v>20200</v>
      </c>
      <c r="B46" s="87" t="s">
        <v>374</v>
      </c>
      <c r="C46" s="88"/>
      <c r="D46" s="89"/>
      <c r="E46" s="88"/>
      <c r="F46" s="88"/>
      <c r="G46" s="90">
        <f t="shared" si="47"/>
        <v>0</v>
      </c>
      <c r="H46" s="91" t="str">
        <f t="shared" si="1"/>
        <v>-</v>
      </c>
      <c r="I46" s="83"/>
      <c r="J46" s="88"/>
      <c r="K46" s="88"/>
      <c r="L46" s="90">
        <f t="shared" si="48"/>
        <v>0</v>
      </c>
      <c r="M46" s="91" t="str">
        <f t="shared" si="9"/>
        <v>-</v>
      </c>
      <c r="N46" s="83"/>
      <c r="O46" s="88"/>
      <c r="P46" s="88"/>
      <c r="Q46" s="90">
        <f t="shared" si="49"/>
        <v>0</v>
      </c>
      <c r="R46" s="91" t="str">
        <f t="shared" si="10"/>
        <v>-</v>
      </c>
      <c r="S46" s="83"/>
      <c r="T46" s="88"/>
      <c r="U46" s="88"/>
      <c r="V46" s="90">
        <f t="shared" si="50"/>
        <v>0</v>
      </c>
      <c r="W46" s="91" t="str">
        <f t="shared" si="11"/>
        <v>-</v>
      </c>
      <c r="X46" s="83"/>
    </row>
    <row r="47" spans="1:24" ht="35.25" customHeight="1" x14ac:dyDescent="0.2">
      <c r="A47" s="92">
        <v>21000</v>
      </c>
      <c r="B47" s="98" t="s">
        <v>375</v>
      </c>
      <c r="C47" s="94">
        <f>C3+C19+C34+C44+C45+C46</f>
        <v>1217329.8099999893</v>
      </c>
      <c r="D47" s="94">
        <v>1100000</v>
      </c>
      <c r="E47" s="94">
        <f>E3+E19+E34+E44+E45+E46</f>
        <v>1783625.2999999893</v>
      </c>
      <c r="F47" s="94">
        <f>F3+F19+F34+F44+F45+F46</f>
        <v>1217329.8099999893</v>
      </c>
      <c r="G47" s="95">
        <f t="shared" si="47"/>
        <v>-566295.49</v>
      </c>
      <c r="H47" s="29">
        <f t="shared" si="1"/>
        <v>-0.31749689242466084</v>
      </c>
      <c r="I47" s="802"/>
      <c r="J47" s="94">
        <f>J3+J19+J34+J44+J45+J46</f>
        <v>1099999.8099999893</v>
      </c>
      <c r="K47" s="94">
        <f>K3+K19+K34+K44+K45+K46</f>
        <v>1217329.8099999893</v>
      </c>
      <c r="L47" s="95">
        <f t="shared" si="48"/>
        <v>117330</v>
      </c>
      <c r="M47" s="29">
        <f t="shared" si="9"/>
        <v>0.10666365478735959</v>
      </c>
      <c r="N47" s="802"/>
      <c r="O47" s="94">
        <f>O3+O19+O34+O44+O45+O46</f>
        <v>1099999.8099999893</v>
      </c>
      <c r="P47" s="94">
        <f>P3+P19+P34+P44+P45+P46</f>
        <v>1217329.8099999893</v>
      </c>
      <c r="Q47" s="95">
        <f t="shared" si="49"/>
        <v>117330</v>
      </c>
      <c r="R47" s="29">
        <f t="shared" si="10"/>
        <v>0.10666365478735959</v>
      </c>
      <c r="S47" s="802"/>
      <c r="T47" s="94">
        <f>T3+T19+T34+T44+T45+T46</f>
        <v>1099999.8099999893</v>
      </c>
      <c r="U47" s="94">
        <f>U3+U19+U34+U44+U45+U46</f>
        <v>1217329.8099999893</v>
      </c>
      <c r="V47" s="95">
        <f t="shared" si="50"/>
        <v>117330</v>
      </c>
      <c r="W47" s="29">
        <f t="shared" si="11"/>
        <v>0.10666365478735959</v>
      </c>
      <c r="X47" s="802"/>
    </row>
    <row r="48" spans="1:24" ht="15.6" customHeight="1" x14ac:dyDescent="0.2">
      <c r="A48" s="423">
        <v>21100</v>
      </c>
      <c r="B48" s="87" t="s">
        <v>376</v>
      </c>
      <c r="C48" s="88"/>
      <c r="D48" s="89"/>
      <c r="E48" s="88"/>
      <c r="F48" s="88"/>
      <c r="G48" s="90">
        <f t="shared" si="47"/>
        <v>0</v>
      </c>
      <c r="H48" s="91" t="str">
        <f t="shared" si="1"/>
        <v>-</v>
      </c>
      <c r="I48" s="803"/>
      <c r="J48" s="88"/>
      <c r="K48" s="88"/>
      <c r="L48" s="90">
        <f t="shared" si="48"/>
        <v>0</v>
      </c>
      <c r="M48" s="91" t="str">
        <f t="shared" si="9"/>
        <v>-</v>
      </c>
      <c r="N48" s="803"/>
      <c r="O48" s="88"/>
      <c r="P48" s="88"/>
      <c r="Q48" s="90">
        <f t="shared" si="49"/>
        <v>0</v>
      </c>
      <c r="R48" s="91" t="str">
        <f t="shared" si="10"/>
        <v>-</v>
      </c>
      <c r="S48" s="803"/>
      <c r="T48" s="88"/>
      <c r="U48" s="88"/>
      <c r="V48" s="90">
        <f t="shared" si="50"/>
        <v>0</v>
      </c>
      <c r="W48" s="91" t="str">
        <f t="shared" si="11"/>
        <v>-</v>
      </c>
      <c r="X48" s="803"/>
    </row>
    <row r="49" spans="1:24" ht="32.25" customHeight="1" x14ac:dyDescent="0.2">
      <c r="A49" s="423">
        <v>21200</v>
      </c>
      <c r="B49" s="87" t="s">
        <v>377</v>
      </c>
      <c r="C49" s="88">
        <v>396697.53</v>
      </c>
      <c r="D49" s="88">
        <v>263952</v>
      </c>
      <c r="E49" s="88">
        <f>720464.49+264161</f>
        <v>984625.49</v>
      </c>
      <c r="F49" s="88"/>
      <c r="G49" s="90">
        <f t="shared" si="47"/>
        <v>-984625.49</v>
      </c>
      <c r="H49" s="91">
        <f t="shared" si="1"/>
        <v>-1</v>
      </c>
      <c r="I49" s="803"/>
      <c r="J49" s="88">
        <f>263952</f>
        <v>263952</v>
      </c>
      <c r="K49" s="88"/>
      <c r="L49" s="90">
        <f t="shared" si="48"/>
        <v>-263952</v>
      </c>
      <c r="M49" s="91">
        <f t="shared" si="9"/>
        <v>-1</v>
      </c>
      <c r="N49" s="803"/>
      <c r="O49" s="88">
        <f>263952</f>
        <v>263952</v>
      </c>
      <c r="P49" s="88"/>
      <c r="Q49" s="90">
        <f t="shared" si="49"/>
        <v>-263952</v>
      </c>
      <c r="R49" s="91">
        <f t="shared" si="10"/>
        <v>-1</v>
      </c>
      <c r="S49" s="803"/>
      <c r="T49" s="88">
        <f>263952</f>
        <v>263952</v>
      </c>
      <c r="U49" s="88"/>
      <c r="V49" s="90">
        <f t="shared" si="50"/>
        <v>-263952</v>
      </c>
      <c r="W49" s="91">
        <f t="shared" si="11"/>
        <v>-1</v>
      </c>
      <c r="X49" s="803"/>
    </row>
    <row r="50" spans="1:24" ht="32.25" customHeight="1" x14ac:dyDescent="0.2">
      <c r="A50" s="423">
        <v>21300</v>
      </c>
      <c r="B50" s="87" t="s">
        <v>378</v>
      </c>
      <c r="C50" s="88"/>
      <c r="D50" s="89"/>
      <c r="E50" s="88"/>
      <c r="F50" s="88"/>
      <c r="G50" s="90">
        <f t="shared" si="47"/>
        <v>0</v>
      </c>
      <c r="H50" s="91" t="str">
        <f t="shared" si="1"/>
        <v>-</v>
      </c>
      <c r="I50" s="803"/>
      <c r="J50" s="88"/>
      <c r="K50" s="88"/>
      <c r="L50" s="90">
        <f t="shared" si="48"/>
        <v>0</v>
      </c>
      <c r="M50" s="91" t="str">
        <f t="shared" si="9"/>
        <v>-</v>
      </c>
      <c r="N50" s="803"/>
      <c r="O50" s="88"/>
      <c r="P50" s="88"/>
      <c r="Q50" s="90">
        <f t="shared" si="49"/>
        <v>0</v>
      </c>
      <c r="R50" s="91" t="str">
        <f t="shared" si="10"/>
        <v>-</v>
      </c>
      <c r="S50" s="803"/>
      <c r="T50" s="88"/>
      <c r="U50" s="88"/>
      <c r="V50" s="90">
        <f t="shared" si="50"/>
        <v>0</v>
      </c>
      <c r="W50" s="91" t="str">
        <f t="shared" si="11"/>
        <v>-</v>
      </c>
      <c r="X50" s="803"/>
    </row>
    <row r="51" spans="1:24" ht="25.5" customHeight="1" x14ac:dyDescent="0.2">
      <c r="A51" s="423">
        <v>21400</v>
      </c>
      <c r="B51" s="87" t="s">
        <v>379</v>
      </c>
      <c r="C51" s="88">
        <v>170883.61</v>
      </c>
      <c r="D51" s="88">
        <v>209</v>
      </c>
      <c r="E51" s="88">
        <v>209</v>
      </c>
      <c r="F51" s="88"/>
      <c r="G51" s="90">
        <f t="shared" si="47"/>
        <v>-209</v>
      </c>
      <c r="H51" s="91">
        <f t="shared" si="1"/>
        <v>-1</v>
      </c>
      <c r="I51" s="803"/>
      <c r="J51" s="88">
        <v>209</v>
      </c>
      <c r="K51" s="88"/>
      <c r="L51" s="90">
        <f t="shared" si="48"/>
        <v>-209</v>
      </c>
      <c r="M51" s="91">
        <f t="shared" si="9"/>
        <v>-1</v>
      </c>
      <c r="N51" s="803"/>
      <c r="O51" s="88">
        <v>209</v>
      </c>
      <c r="P51" s="88"/>
      <c r="Q51" s="90">
        <f t="shared" si="49"/>
        <v>-209</v>
      </c>
      <c r="R51" s="91">
        <f t="shared" si="10"/>
        <v>-1</v>
      </c>
      <c r="S51" s="803"/>
      <c r="T51" s="88">
        <v>209</v>
      </c>
      <c r="U51" s="88"/>
      <c r="V51" s="90">
        <f t="shared" si="50"/>
        <v>-209</v>
      </c>
      <c r="W51" s="91">
        <f t="shared" si="11"/>
        <v>-1</v>
      </c>
      <c r="X51" s="803"/>
    </row>
    <row r="52" spans="1:24" ht="15.6" customHeight="1" x14ac:dyDescent="0.2">
      <c r="A52" s="423">
        <v>21500</v>
      </c>
      <c r="B52" s="87" t="s">
        <v>380</v>
      </c>
      <c r="C52" s="88">
        <f>646248+3500.67</f>
        <v>649748.67000000004</v>
      </c>
      <c r="D52" s="88">
        <v>835838.80999998935</v>
      </c>
      <c r="E52" s="88">
        <f>799000-209</f>
        <v>798791</v>
      </c>
      <c r="F52" s="88"/>
      <c r="G52" s="90">
        <f t="shared" si="47"/>
        <v>-798791</v>
      </c>
      <c r="H52" s="91">
        <f t="shared" si="1"/>
        <v>-1</v>
      </c>
      <c r="I52" s="803"/>
      <c r="J52" s="88">
        <f>J47-J49-209</f>
        <v>835838.80999998935</v>
      </c>
      <c r="K52" s="88"/>
      <c r="L52" s="90">
        <f t="shared" si="48"/>
        <v>-835838.80999998935</v>
      </c>
      <c r="M52" s="91">
        <f t="shared" si="9"/>
        <v>-1</v>
      </c>
      <c r="N52" s="803"/>
      <c r="O52" s="88">
        <f>O47-O49-209</f>
        <v>835838.80999998935</v>
      </c>
      <c r="P52" s="88"/>
      <c r="Q52" s="90">
        <f t="shared" si="49"/>
        <v>-835838.80999998935</v>
      </c>
      <c r="R52" s="91">
        <f t="shared" si="10"/>
        <v>-1</v>
      </c>
      <c r="S52" s="803"/>
      <c r="T52" s="88">
        <f>T47-T49-209</f>
        <v>835838.80999998935</v>
      </c>
      <c r="U52" s="88"/>
      <c r="V52" s="90">
        <f t="shared" si="50"/>
        <v>-835838.80999998935</v>
      </c>
      <c r="W52" s="91">
        <f t="shared" si="11"/>
        <v>-1</v>
      </c>
      <c r="X52" s="803"/>
    </row>
    <row r="53" spans="1:24" ht="15.6" customHeight="1" x14ac:dyDescent="0.2">
      <c r="A53" s="423">
        <v>21600</v>
      </c>
      <c r="B53" s="87" t="s">
        <v>381</v>
      </c>
      <c r="C53" s="88"/>
      <c r="D53" s="89"/>
      <c r="E53" s="88"/>
      <c r="F53" s="88"/>
      <c r="G53" s="90">
        <f t="shared" si="47"/>
        <v>0</v>
      </c>
      <c r="H53" s="91" t="str">
        <f t="shared" si="1"/>
        <v>-</v>
      </c>
      <c r="I53" s="803"/>
      <c r="J53" s="88"/>
      <c r="K53" s="88"/>
      <c r="L53" s="90">
        <f t="shared" si="48"/>
        <v>0</v>
      </c>
      <c r="M53" s="91" t="str">
        <f t="shared" si="9"/>
        <v>-</v>
      </c>
      <c r="N53" s="803"/>
      <c r="O53" s="88"/>
      <c r="P53" s="88"/>
      <c r="Q53" s="90">
        <f t="shared" si="49"/>
        <v>0</v>
      </c>
      <c r="R53" s="91" t="str">
        <f t="shared" si="10"/>
        <v>-</v>
      </c>
      <c r="S53" s="803"/>
      <c r="T53" s="88"/>
      <c r="U53" s="88"/>
      <c r="V53" s="90">
        <f t="shared" si="50"/>
        <v>0</v>
      </c>
      <c r="W53" s="91" t="str">
        <f t="shared" si="11"/>
        <v>-</v>
      </c>
      <c r="X53" s="803"/>
    </row>
    <row r="54" spans="1:24" ht="15.6" customHeight="1" x14ac:dyDescent="0.2">
      <c r="A54" s="423">
        <v>21700</v>
      </c>
      <c r="B54" s="87" t="s">
        <v>382</v>
      </c>
      <c r="C54" s="88"/>
      <c r="D54" s="89"/>
      <c r="E54" s="88"/>
      <c r="F54" s="88"/>
      <c r="G54" s="90">
        <f t="shared" si="47"/>
        <v>0</v>
      </c>
      <c r="H54" s="91" t="str">
        <f t="shared" si="1"/>
        <v>-</v>
      </c>
      <c r="I54" s="804"/>
      <c r="J54" s="88"/>
      <c r="K54" s="88"/>
      <c r="L54" s="90">
        <f t="shared" si="48"/>
        <v>0</v>
      </c>
      <c r="M54" s="91" t="str">
        <f t="shared" si="9"/>
        <v>-</v>
      </c>
      <c r="N54" s="804"/>
      <c r="O54" s="88"/>
      <c r="P54" s="88"/>
      <c r="Q54" s="90">
        <f t="shared" si="49"/>
        <v>0</v>
      </c>
      <c r="R54" s="91" t="str">
        <f t="shared" si="10"/>
        <v>-</v>
      </c>
      <c r="S54" s="804"/>
      <c r="T54" s="88"/>
      <c r="U54" s="88"/>
      <c r="V54" s="90">
        <f t="shared" si="50"/>
        <v>0</v>
      </c>
      <c r="W54" s="91" t="str">
        <f t="shared" si="11"/>
        <v>-</v>
      </c>
      <c r="X54" s="804"/>
    </row>
    <row r="55" spans="1:24" x14ac:dyDescent="0.2">
      <c r="A55" s="424"/>
      <c r="B55" s="425"/>
      <c r="C55" s="166"/>
      <c r="D55" s="426"/>
      <c r="E55" s="166"/>
      <c r="F55" s="166"/>
      <c r="G55" s="167"/>
      <c r="H55" s="168"/>
      <c r="I55" s="169"/>
      <c r="J55" s="166"/>
      <c r="K55" s="166"/>
      <c r="L55" s="167"/>
      <c r="M55" s="168"/>
      <c r="N55" s="169"/>
      <c r="O55" s="166"/>
      <c r="P55" s="166"/>
      <c r="Q55" s="167"/>
      <c r="R55" s="168"/>
      <c r="S55" s="169"/>
      <c r="T55" s="166"/>
      <c r="U55" s="166"/>
      <c r="V55" s="167"/>
      <c r="W55" s="168"/>
      <c r="X55" s="169"/>
    </row>
    <row r="56" spans="1:24" x14ac:dyDescent="0.2">
      <c r="A56" s="30" t="s">
        <v>230</v>
      </c>
      <c r="B56" s="36"/>
      <c r="C56" s="36"/>
      <c r="D56" s="36"/>
      <c r="E56" s="36"/>
      <c r="F56" s="36"/>
      <c r="G56" s="43"/>
      <c r="H56" s="43"/>
      <c r="I56" s="36"/>
      <c r="J56" s="36"/>
      <c r="K56" s="36"/>
      <c r="L56" s="43"/>
      <c r="M56" s="43"/>
      <c r="N56" s="36"/>
      <c r="O56" s="36"/>
      <c r="P56" s="36"/>
      <c r="Q56" s="43"/>
      <c r="R56" s="43"/>
      <c r="S56" s="36"/>
      <c r="T56" s="36"/>
      <c r="U56" s="36"/>
      <c r="V56" s="43"/>
      <c r="W56" s="43"/>
      <c r="X56" s="36"/>
    </row>
    <row r="57" spans="1:24" ht="36.6" customHeight="1" x14ac:dyDescent="0.2">
      <c r="A57" s="778" t="s">
        <v>383</v>
      </c>
      <c r="B57" s="778"/>
      <c r="C57" s="778"/>
      <c r="D57" s="778"/>
      <c r="E57" s="778"/>
      <c r="F57" s="778"/>
      <c r="G57" s="778"/>
      <c r="H57" s="47"/>
      <c r="I57" s="47"/>
      <c r="J57" s="47"/>
      <c r="K57" s="47"/>
      <c r="L57" s="47"/>
      <c r="M57" s="47"/>
      <c r="N57" s="47"/>
      <c r="O57" s="47"/>
      <c r="P57" s="47"/>
      <c r="Q57" s="47"/>
      <c r="R57" s="47"/>
      <c r="S57" s="47"/>
      <c r="T57" s="47"/>
      <c r="U57" s="47"/>
      <c r="V57" s="47"/>
      <c r="W57" s="47"/>
      <c r="X57" s="47"/>
    </row>
  </sheetData>
  <sheetProtection formatColumns="0" formatRows="0" insertRows="0" deleteRows="0"/>
  <mergeCells count="8">
    <mergeCell ref="A57:G57"/>
    <mergeCell ref="S47:S54"/>
    <mergeCell ref="X47:X54"/>
    <mergeCell ref="B4:G4"/>
    <mergeCell ref="B20:G20"/>
    <mergeCell ref="B35:G35"/>
    <mergeCell ref="I47:I54"/>
    <mergeCell ref="N47:N54"/>
  </mergeCells>
  <pageMargins left="0.23622047244094491" right="0.23622047244094491" top="0.74803149606299213" bottom="0.74803149606299213" header="0.31496062992125984" footer="0.31496062992125984"/>
  <pageSetup paperSize="9" scale="17" fitToHeight="0" orientation="portrait" r:id="rId1"/>
  <headerFooter>
    <oddHeader>&amp;C&amp;"Times New Roman,Bold"&amp;14Naudas plūsmas pārskats&amp;R&amp;"Times New Roman,Regular"&amp;14 4.pielikums</oddHeader>
    <oddFooter>&amp;C&amp;"Times New Roman,Regular"&amp;12&amp;F&amp;R&amp;"Times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105"/>
  <sheetViews>
    <sheetView zoomScale="90" zoomScaleNormal="90" zoomScaleSheetLayoutView="90" zoomScalePageLayoutView="40" workbookViewId="0">
      <pane ySplit="1" topLeftCell="A2" activePane="bottomLeft" state="frozen"/>
      <selection pane="bottomLeft" activeCell="E7" sqref="E7"/>
    </sheetView>
  </sheetViews>
  <sheetFormatPr defaultColWidth="9.140625" defaultRowHeight="18.75" outlineLevelCol="1" x14ac:dyDescent="0.2"/>
  <cols>
    <col min="1" max="1" width="9.5703125" style="10" customWidth="1"/>
    <col min="2" max="2" width="50.28515625" style="10" customWidth="1"/>
    <col min="3" max="3" width="15.85546875" style="10" customWidth="1"/>
    <col min="4" max="4" width="15.5703125" style="11" customWidth="1"/>
    <col min="5" max="5" width="22" style="10" customWidth="1"/>
    <col min="6" max="6" width="20.5703125" style="10" hidden="1" customWidth="1" outlineLevel="1"/>
    <col min="7" max="7" width="22.5703125" style="10" hidden="1" customWidth="1" outlineLevel="1"/>
    <col min="8" max="8" width="19.28515625" style="13" hidden="1" customWidth="1" outlineLevel="1"/>
    <col min="9" max="9" width="72.85546875" style="13" hidden="1" customWidth="1" outlineLevel="1"/>
    <col min="10" max="10" width="22" style="10" customWidth="1" collapsed="1"/>
    <col min="11" max="11" width="20.5703125" style="10" hidden="1" customWidth="1" outlineLevel="1"/>
    <col min="12" max="12" width="22.5703125" style="10" hidden="1" customWidth="1" outlineLevel="1"/>
    <col min="13" max="13" width="19.28515625" style="13" hidden="1" customWidth="1" outlineLevel="1"/>
    <col min="14" max="14" width="26.42578125" style="13" hidden="1" customWidth="1" outlineLevel="1"/>
    <col min="15" max="15" width="22" style="10" customWidth="1" collapsed="1"/>
    <col min="16" max="16" width="20.5703125" style="10" hidden="1" customWidth="1" outlineLevel="1"/>
    <col min="17" max="17" width="22.5703125" style="10" hidden="1" customWidth="1" outlineLevel="1"/>
    <col min="18" max="18" width="19.28515625" style="13" hidden="1" customWidth="1" outlineLevel="1"/>
    <col min="19" max="19" width="26.42578125" style="13" hidden="1" customWidth="1" outlineLevel="1"/>
    <col min="20" max="20" width="22" style="10" customWidth="1" collapsed="1"/>
    <col min="21" max="21" width="20.5703125" style="10" hidden="1" customWidth="1" outlineLevel="1"/>
    <col min="22" max="22" width="22.5703125" style="10" hidden="1" customWidth="1" outlineLevel="1"/>
    <col min="23" max="23" width="19.28515625" style="13" hidden="1" customWidth="1" outlineLevel="1"/>
    <col min="24" max="24" width="26.42578125" style="13" hidden="1" customWidth="1" outlineLevel="1"/>
    <col min="25" max="25" width="0" style="10" hidden="1" customWidth="1" collapsed="1"/>
    <col min="26" max="26" width="0" style="10" hidden="1" customWidth="1"/>
    <col min="27" max="16384" width="9.140625" style="10"/>
  </cols>
  <sheetData>
    <row r="1" spans="1:24" ht="63" x14ac:dyDescent="0.25">
      <c r="A1" s="79" t="s">
        <v>0</v>
      </c>
      <c r="B1" s="172" t="s">
        <v>384</v>
      </c>
      <c r="C1" s="572" t="s">
        <v>385</v>
      </c>
      <c r="D1" s="24" t="s">
        <v>3</v>
      </c>
      <c r="E1" s="24" t="s">
        <v>4</v>
      </c>
      <c r="F1" s="24" t="s">
        <v>386</v>
      </c>
      <c r="G1" s="25" t="s">
        <v>6</v>
      </c>
      <c r="H1" s="26" t="s">
        <v>7</v>
      </c>
      <c r="I1" s="24" t="s">
        <v>387</v>
      </c>
      <c r="J1" s="24" t="s">
        <v>388</v>
      </c>
      <c r="K1" s="24" t="s">
        <v>10</v>
      </c>
      <c r="L1" s="25" t="s">
        <v>6</v>
      </c>
      <c r="M1" s="26" t="s">
        <v>7</v>
      </c>
      <c r="N1" s="24" t="s">
        <v>387</v>
      </c>
      <c r="O1" s="24" t="s">
        <v>11</v>
      </c>
      <c r="P1" s="24" t="s">
        <v>12</v>
      </c>
      <c r="Q1" s="25" t="s">
        <v>6</v>
      </c>
      <c r="R1" s="26" t="s">
        <v>7</v>
      </c>
      <c r="S1" s="24" t="s">
        <v>387</v>
      </c>
      <c r="T1" s="24" t="s">
        <v>13</v>
      </c>
      <c r="U1" s="24" t="s">
        <v>14</v>
      </c>
      <c r="V1" s="25" t="s">
        <v>6</v>
      </c>
      <c r="W1" s="26" t="s">
        <v>7</v>
      </c>
      <c r="X1" s="24" t="s">
        <v>387</v>
      </c>
    </row>
    <row r="2" spans="1:24" ht="12" customHeight="1" x14ac:dyDescent="0.25">
      <c r="A2" s="33">
        <v>1</v>
      </c>
      <c r="B2" s="24">
        <v>2</v>
      </c>
      <c r="C2" s="573">
        <v>3</v>
      </c>
      <c r="D2" s="24">
        <v>4</v>
      </c>
      <c r="E2" s="24">
        <v>5</v>
      </c>
      <c r="F2" s="24">
        <v>6</v>
      </c>
      <c r="G2" s="25">
        <v>7</v>
      </c>
      <c r="H2" s="27">
        <v>8</v>
      </c>
      <c r="I2" s="24">
        <v>9</v>
      </c>
      <c r="J2" s="24">
        <v>10</v>
      </c>
      <c r="K2" s="24">
        <v>11</v>
      </c>
      <c r="L2" s="25">
        <v>12</v>
      </c>
      <c r="M2" s="27">
        <v>13</v>
      </c>
      <c r="N2" s="24">
        <v>14</v>
      </c>
      <c r="O2" s="24">
        <v>15</v>
      </c>
      <c r="P2" s="24">
        <v>16</v>
      </c>
      <c r="Q2" s="25">
        <v>17</v>
      </c>
      <c r="R2" s="27">
        <v>18</v>
      </c>
      <c r="S2" s="24">
        <v>19</v>
      </c>
      <c r="T2" s="24">
        <v>20</v>
      </c>
      <c r="U2" s="24">
        <v>21</v>
      </c>
      <c r="V2" s="25">
        <v>22</v>
      </c>
      <c r="W2" s="27">
        <v>23</v>
      </c>
      <c r="X2" s="24">
        <v>24</v>
      </c>
    </row>
    <row r="3" spans="1:24" ht="18" customHeight="1" x14ac:dyDescent="0.25">
      <c r="A3" s="280" t="s">
        <v>389</v>
      </c>
      <c r="B3" s="281" t="s">
        <v>390</v>
      </c>
      <c r="C3" s="565" t="s">
        <v>391</v>
      </c>
      <c r="D3" s="282" t="s">
        <v>391</v>
      </c>
      <c r="E3" s="282" t="s">
        <v>391</v>
      </c>
      <c r="F3" s="283" t="s">
        <v>391</v>
      </c>
      <c r="G3" s="358" t="s">
        <v>391</v>
      </c>
      <c r="H3" s="284" t="s">
        <v>391</v>
      </c>
      <c r="I3" s="284" t="s">
        <v>391</v>
      </c>
      <c r="J3" s="282" t="s">
        <v>391</v>
      </c>
      <c r="K3" s="283" t="s">
        <v>391</v>
      </c>
      <c r="L3" s="283" t="s">
        <v>391</v>
      </c>
      <c r="M3" s="284" t="s">
        <v>391</v>
      </c>
      <c r="N3" s="284" t="s">
        <v>391</v>
      </c>
      <c r="O3" s="282" t="s">
        <v>391</v>
      </c>
      <c r="P3" s="283" t="s">
        <v>391</v>
      </c>
      <c r="Q3" s="283" t="s">
        <v>391</v>
      </c>
      <c r="R3" s="284" t="s">
        <v>391</v>
      </c>
      <c r="S3" s="284" t="s">
        <v>391</v>
      </c>
      <c r="T3" s="282" t="s">
        <v>391</v>
      </c>
      <c r="U3" s="283" t="s">
        <v>391</v>
      </c>
      <c r="V3" s="283" t="s">
        <v>391</v>
      </c>
      <c r="W3" s="284" t="s">
        <v>391</v>
      </c>
      <c r="X3" s="284" t="s">
        <v>391</v>
      </c>
    </row>
    <row r="4" spans="1:24" ht="51" customHeight="1" x14ac:dyDescent="0.25">
      <c r="A4" s="191" t="s">
        <v>392</v>
      </c>
      <c r="B4" s="105" t="s">
        <v>393</v>
      </c>
      <c r="C4" s="566" t="s">
        <v>391</v>
      </c>
      <c r="D4" s="192" t="s">
        <v>391</v>
      </c>
      <c r="E4" s="192" t="s">
        <v>391</v>
      </c>
      <c r="F4" s="192" t="s">
        <v>391</v>
      </c>
      <c r="G4" s="96" t="s">
        <v>391</v>
      </c>
      <c r="H4" s="95" t="s">
        <v>391</v>
      </c>
      <c r="I4" s="95" t="s">
        <v>391</v>
      </c>
      <c r="J4" s="192" t="s">
        <v>391</v>
      </c>
      <c r="K4" s="192" t="s">
        <v>391</v>
      </c>
      <c r="L4" s="192" t="s">
        <v>391</v>
      </c>
      <c r="M4" s="95" t="s">
        <v>391</v>
      </c>
      <c r="N4" s="95" t="s">
        <v>391</v>
      </c>
      <c r="O4" s="192" t="s">
        <v>391</v>
      </c>
      <c r="P4" s="192" t="s">
        <v>391</v>
      </c>
      <c r="Q4" s="192" t="s">
        <v>391</v>
      </c>
      <c r="R4" s="192" t="s">
        <v>391</v>
      </c>
      <c r="S4" s="95" t="s">
        <v>391</v>
      </c>
      <c r="T4" s="192" t="s">
        <v>391</v>
      </c>
      <c r="U4" s="192" t="s">
        <v>391</v>
      </c>
      <c r="V4" s="192" t="s">
        <v>391</v>
      </c>
      <c r="W4" s="95" t="s">
        <v>391</v>
      </c>
      <c r="X4" s="95" t="s">
        <v>391</v>
      </c>
    </row>
    <row r="5" spans="1:24" ht="33" customHeight="1" x14ac:dyDescent="0.25">
      <c r="A5" s="193" t="s">
        <v>394</v>
      </c>
      <c r="B5" s="194" t="s">
        <v>395</v>
      </c>
      <c r="C5" s="567" t="s">
        <v>396</v>
      </c>
      <c r="D5" s="195">
        <v>27332</v>
      </c>
      <c r="E5" s="59">
        <v>6347</v>
      </c>
      <c r="F5" s="59"/>
      <c r="G5" s="356">
        <f t="shared" ref="G5:G40" si="0">F5-E5</f>
        <v>-6347</v>
      </c>
      <c r="H5" s="357">
        <f t="shared" ref="H5:H40" si="1">IFERROR(G5/ABS(E5), "-")</f>
        <v>-1</v>
      </c>
      <c r="I5" s="196"/>
      <c r="J5" s="59">
        <v>13755</v>
      </c>
      <c r="K5" s="59"/>
      <c r="L5" s="60">
        <f>K5-J5</f>
        <v>-13755</v>
      </c>
      <c r="M5" s="61">
        <f>L5/J5</f>
        <v>-1</v>
      </c>
      <c r="N5" s="196"/>
      <c r="O5" s="59">
        <v>21108</v>
      </c>
      <c r="P5" s="59"/>
      <c r="Q5" s="65">
        <f t="shared" ref="Q5:Q40" si="2">P5-O5</f>
        <v>-21108</v>
      </c>
      <c r="R5" s="61">
        <f t="shared" ref="R5:R40" si="3">IFERROR(Q5/ABS(O5), "-")</f>
        <v>-1</v>
      </c>
      <c r="S5" s="196"/>
      <c r="T5" s="195">
        <v>27332</v>
      </c>
      <c r="U5" s="59"/>
      <c r="V5" s="60">
        <f>U5-T5</f>
        <v>-27332</v>
      </c>
      <c r="W5" s="61">
        <f>IFERROR(V5/ABS(T5), "-")</f>
        <v>-1</v>
      </c>
      <c r="X5" s="196"/>
    </row>
    <row r="6" spans="1:24" ht="50.1" customHeight="1" x14ac:dyDescent="0.25">
      <c r="A6" s="193" t="s">
        <v>397</v>
      </c>
      <c r="B6" s="197" t="s">
        <v>398</v>
      </c>
      <c r="C6" s="567" t="s">
        <v>399</v>
      </c>
      <c r="D6" s="118">
        <v>23558</v>
      </c>
      <c r="E6" s="64">
        <v>5378</v>
      </c>
      <c r="F6" s="64"/>
      <c r="G6" s="356">
        <f t="shared" si="0"/>
        <v>-5378</v>
      </c>
      <c r="H6" s="357">
        <f t="shared" si="1"/>
        <v>-1</v>
      </c>
      <c r="I6" s="196"/>
      <c r="J6" s="64">
        <v>11873</v>
      </c>
      <c r="K6" s="64"/>
      <c r="L6" s="60">
        <f t="shared" ref="L6:L14" si="4">K6-J6</f>
        <v>-11873</v>
      </c>
      <c r="M6" s="61">
        <f t="shared" ref="M6:M14" si="5">L6/J6</f>
        <v>-1</v>
      </c>
      <c r="N6" s="196"/>
      <c r="O6" s="64">
        <v>18299</v>
      </c>
      <c r="P6" s="64"/>
      <c r="Q6" s="65">
        <f t="shared" si="2"/>
        <v>-18299</v>
      </c>
      <c r="R6" s="61">
        <f t="shared" si="3"/>
        <v>-1</v>
      </c>
      <c r="S6" s="196"/>
      <c r="T6" s="118">
        <v>23558</v>
      </c>
      <c r="U6" s="64"/>
      <c r="V6" s="65">
        <f t="shared" ref="V6:V14" si="6">U6-T6</f>
        <v>-23558</v>
      </c>
      <c r="W6" s="61">
        <f t="shared" ref="W6:W14" si="7">IFERROR(V6/ABS(T6), "-")</f>
        <v>-1</v>
      </c>
      <c r="X6" s="196"/>
    </row>
    <row r="7" spans="1:24" ht="32.1" customHeight="1" x14ac:dyDescent="0.25">
      <c r="A7" s="193" t="s">
        <v>400</v>
      </c>
      <c r="B7" s="197" t="s">
        <v>401</v>
      </c>
      <c r="C7" s="567" t="s">
        <v>402</v>
      </c>
      <c r="D7" s="118">
        <v>3774</v>
      </c>
      <c r="E7" s="64">
        <v>969</v>
      </c>
      <c r="F7" s="64"/>
      <c r="G7" s="356">
        <f t="shared" si="0"/>
        <v>-969</v>
      </c>
      <c r="H7" s="357">
        <f t="shared" si="1"/>
        <v>-1</v>
      </c>
      <c r="I7" s="196"/>
      <c r="J7" s="64">
        <v>1882</v>
      </c>
      <c r="K7" s="64"/>
      <c r="L7" s="60">
        <f>K7-J7</f>
        <v>-1882</v>
      </c>
      <c r="M7" s="61">
        <f t="shared" si="5"/>
        <v>-1</v>
      </c>
      <c r="N7" s="196"/>
      <c r="O7" s="64">
        <v>2809</v>
      </c>
      <c r="P7" s="81"/>
      <c r="Q7" s="65">
        <f t="shared" si="2"/>
        <v>-2809</v>
      </c>
      <c r="R7" s="61">
        <f t="shared" si="3"/>
        <v>-1</v>
      </c>
      <c r="S7" s="196"/>
      <c r="T7" s="118">
        <v>3774</v>
      </c>
      <c r="U7" s="81"/>
      <c r="V7" s="65">
        <f t="shared" si="6"/>
        <v>-3774</v>
      </c>
      <c r="W7" s="61">
        <f t="shared" si="7"/>
        <v>-1</v>
      </c>
      <c r="X7" s="196"/>
    </row>
    <row r="8" spans="1:24" ht="32.1" customHeight="1" x14ac:dyDescent="0.25">
      <c r="A8" s="193" t="s">
        <v>403</v>
      </c>
      <c r="B8" s="197" t="s">
        <v>404</v>
      </c>
      <c r="C8" s="567">
        <v>0</v>
      </c>
      <c r="D8" s="198"/>
      <c r="E8" s="59"/>
      <c r="F8" s="59"/>
      <c r="G8" s="356">
        <f t="shared" si="0"/>
        <v>0</v>
      </c>
      <c r="H8" s="357" t="str">
        <f t="shared" si="1"/>
        <v>-</v>
      </c>
      <c r="I8" s="196"/>
      <c r="J8" s="59"/>
      <c r="K8" s="59"/>
      <c r="L8" s="60">
        <f t="shared" si="4"/>
        <v>0</v>
      </c>
      <c r="M8" s="61" t="e">
        <f t="shared" si="5"/>
        <v>#DIV/0!</v>
      </c>
      <c r="N8" s="196"/>
      <c r="O8" s="59"/>
      <c r="P8" s="59"/>
      <c r="Q8" s="65">
        <f t="shared" si="2"/>
        <v>0</v>
      </c>
      <c r="R8" s="61" t="str">
        <f t="shared" si="3"/>
        <v>-</v>
      </c>
      <c r="S8" s="196"/>
      <c r="T8" s="198"/>
      <c r="U8" s="59"/>
      <c r="V8" s="60">
        <f t="shared" si="6"/>
        <v>0</v>
      </c>
      <c r="W8" s="61" t="str">
        <f t="shared" si="7"/>
        <v>-</v>
      </c>
      <c r="X8" s="196"/>
    </row>
    <row r="9" spans="1:24" ht="31.5" customHeight="1" x14ac:dyDescent="0.25">
      <c r="A9" s="199" t="s">
        <v>405</v>
      </c>
      <c r="B9" s="200" t="s">
        <v>406</v>
      </c>
      <c r="C9" s="567" t="s">
        <v>407</v>
      </c>
      <c r="D9" s="118"/>
      <c r="E9" s="64"/>
      <c r="F9" s="64"/>
      <c r="G9" s="356">
        <f t="shared" si="0"/>
        <v>0</v>
      </c>
      <c r="H9" s="357" t="str">
        <f t="shared" si="1"/>
        <v>-</v>
      </c>
      <c r="I9" s="196"/>
      <c r="J9" s="64"/>
      <c r="K9" s="64"/>
      <c r="L9" s="60">
        <f t="shared" si="4"/>
        <v>0</v>
      </c>
      <c r="M9" s="61" t="e">
        <f t="shared" si="5"/>
        <v>#DIV/0!</v>
      </c>
      <c r="N9" s="196"/>
      <c r="O9" s="64"/>
      <c r="P9" s="64"/>
      <c r="Q9" s="65">
        <f t="shared" si="2"/>
        <v>0</v>
      </c>
      <c r="R9" s="61" t="str">
        <f t="shared" si="3"/>
        <v>-</v>
      </c>
      <c r="S9" s="196"/>
      <c r="T9" s="118"/>
      <c r="U9" s="64"/>
      <c r="V9" s="65">
        <f t="shared" si="6"/>
        <v>0</v>
      </c>
      <c r="W9" s="61" t="str">
        <f t="shared" si="7"/>
        <v>-</v>
      </c>
      <c r="X9" s="196"/>
    </row>
    <row r="10" spans="1:24" ht="30.95" customHeight="1" x14ac:dyDescent="0.25">
      <c r="A10" s="199" t="s">
        <v>408</v>
      </c>
      <c r="B10" s="200" t="s">
        <v>409</v>
      </c>
      <c r="C10" s="567" t="s">
        <v>407</v>
      </c>
      <c r="D10" s="118"/>
      <c r="E10" s="64"/>
      <c r="F10" s="64"/>
      <c r="G10" s="356">
        <f t="shared" si="0"/>
        <v>0</v>
      </c>
      <c r="H10" s="357" t="str">
        <f t="shared" si="1"/>
        <v>-</v>
      </c>
      <c r="I10" s="196"/>
      <c r="J10" s="64"/>
      <c r="K10" s="64"/>
      <c r="L10" s="60">
        <f t="shared" si="4"/>
        <v>0</v>
      </c>
      <c r="M10" s="61" t="e">
        <f t="shared" si="5"/>
        <v>#DIV/0!</v>
      </c>
      <c r="N10" s="196"/>
      <c r="O10" s="64"/>
      <c r="P10" s="64"/>
      <c r="Q10" s="65">
        <f t="shared" si="2"/>
        <v>0</v>
      </c>
      <c r="R10" s="61" t="str">
        <f t="shared" si="3"/>
        <v>-</v>
      </c>
      <c r="S10" s="196"/>
      <c r="T10" s="118"/>
      <c r="U10" s="64"/>
      <c r="V10" s="65">
        <f t="shared" si="6"/>
        <v>0</v>
      </c>
      <c r="W10" s="61" t="str">
        <f t="shared" si="7"/>
        <v>-</v>
      </c>
      <c r="X10" s="196"/>
    </row>
    <row r="11" spans="1:24" ht="35.450000000000003" customHeight="1" x14ac:dyDescent="0.25">
      <c r="A11" s="193" t="s">
        <v>410</v>
      </c>
      <c r="B11" s="201" t="s">
        <v>411</v>
      </c>
      <c r="C11" s="568" t="s">
        <v>402</v>
      </c>
      <c r="D11" s="202">
        <v>3774</v>
      </c>
      <c r="E11" s="202">
        <v>969</v>
      </c>
      <c r="F11" s="202"/>
      <c r="G11" s="356">
        <f t="shared" si="0"/>
        <v>-969</v>
      </c>
      <c r="H11" s="357">
        <f t="shared" si="1"/>
        <v>-1</v>
      </c>
      <c r="I11" s="196"/>
      <c r="J11" s="202">
        <v>1882</v>
      </c>
      <c r="K11" s="202"/>
      <c r="L11" s="60">
        <f t="shared" si="4"/>
        <v>-1882</v>
      </c>
      <c r="M11" s="61">
        <f t="shared" si="5"/>
        <v>-1</v>
      </c>
      <c r="N11" s="196"/>
      <c r="O11" s="202">
        <v>2809</v>
      </c>
      <c r="P11" s="202"/>
      <c r="Q11" s="65">
        <f t="shared" si="2"/>
        <v>-2809</v>
      </c>
      <c r="R11" s="61">
        <f t="shared" si="3"/>
        <v>-1</v>
      </c>
      <c r="S11" s="196"/>
      <c r="T11" s="202">
        <v>3774</v>
      </c>
      <c r="U11" s="202"/>
      <c r="V11" s="203">
        <f t="shared" si="6"/>
        <v>-3774</v>
      </c>
      <c r="W11" s="61">
        <f t="shared" si="7"/>
        <v>-1</v>
      </c>
      <c r="X11" s="196"/>
    </row>
    <row r="12" spans="1:24" ht="32.1" customHeight="1" x14ac:dyDescent="0.25">
      <c r="A12" s="193" t="s">
        <v>412</v>
      </c>
      <c r="B12" s="201" t="s">
        <v>413</v>
      </c>
      <c r="C12" s="575">
        <v>13.58</v>
      </c>
      <c r="D12" s="204">
        <v>13.81</v>
      </c>
      <c r="E12" s="204">
        <v>15.27</v>
      </c>
      <c r="F12" s="204"/>
      <c r="G12" s="356">
        <f t="shared" si="0"/>
        <v>-15.27</v>
      </c>
      <c r="H12" s="357">
        <f t="shared" si="1"/>
        <v>-1</v>
      </c>
      <c r="I12" s="196"/>
      <c r="J12" s="204">
        <v>13.68</v>
      </c>
      <c r="K12" s="204"/>
      <c r="L12" s="60">
        <f t="shared" si="4"/>
        <v>-13.68</v>
      </c>
      <c r="M12" s="61">
        <f t="shared" si="5"/>
        <v>-1</v>
      </c>
      <c r="N12" s="196"/>
      <c r="O12" s="204">
        <v>13.31</v>
      </c>
      <c r="P12" s="204"/>
      <c r="Q12" s="65">
        <f t="shared" si="2"/>
        <v>-13.31</v>
      </c>
      <c r="R12" s="61">
        <f>IFERROR(Q12/ABS(O12), "-")</f>
        <v>-1</v>
      </c>
      <c r="S12" s="196"/>
      <c r="T12" s="204">
        <v>13.81</v>
      </c>
      <c r="U12" s="204"/>
      <c r="V12" s="205">
        <f t="shared" si="6"/>
        <v>-13.81</v>
      </c>
      <c r="W12" s="61">
        <f t="shared" si="7"/>
        <v>-1</v>
      </c>
      <c r="X12" s="196"/>
    </row>
    <row r="13" spans="1:24" ht="18" customHeight="1" x14ac:dyDescent="0.25">
      <c r="A13" s="193" t="s">
        <v>414</v>
      </c>
      <c r="B13" s="201" t="s">
        <v>415</v>
      </c>
      <c r="C13" s="568" t="s">
        <v>407</v>
      </c>
      <c r="D13" s="206"/>
      <c r="E13" s="206"/>
      <c r="F13" s="206"/>
      <c r="G13" s="356">
        <f t="shared" si="0"/>
        <v>0</v>
      </c>
      <c r="H13" s="357" t="str">
        <f t="shared" si="1"/>
        <v>-</v>
      </c>
      <c r="I13" s="196"/>
      <c r="J13" s="206"/>
      <c r="K13" s="206"/>
      <c r="L13" s="60">
        <f t="shared" si="4"/>
        <v>0</v>
      </c>
      <c r="M13" s="61" t="e">
        <f t="shared" si="5"/>
        <v>#DIV/0!</v>
      </c>
      <c r="N13" s="196"/>
      <c r="O13" s="206"/>
      <c r="P13" s="206"/>
      <c r="Q13" s="65">
        <f t="shared" si="2"/>
        <v>0</v>
      </c>
      <c r="R13" s="61" t="str">
        <f t="shared" si="3"/>
        <v>-</v>
      </c>
      <c r="S13" s="196"/>
      <c r="T13" s="206"/>
      <c r="U13" s="206"/>
      <c r="V13" s="207">
        <f t="shared" si="6"/>
        <v>0</v>
      </c>
      <c r="W13" s="61" t="str">
        <f t="shared" si="7"/>
        <v>-</v>
      </c>
      <c r="X13" s="196"/>
    </row>
    <row r="14" spans="1:24" ht="34.5" customHeight="1" x14ac:dyDescent="0.25">
      <c r="A14" s="193" t="s">
        <v>416</v>
      </c>
      <c r="B14" s="201" t="s">
        <v>417</v>
      </c>
      <c r="C14" s="568" t="s">
        <v>407</v>
      </c>
      <c r="D14" s="204"/>
      <c r="E14" s="204"/>
      <c r="F14" s="204"/>
      <c r="G14" s="356">
        <f t="shared" si="0"/>
        <v>0</v>
      </c>
      <c r="H14" s="357" t="str">
        <f t="shared" si="1"/>
        <v>-</v>
      </c>
      <c r="I14" s="196"/>
      <c r="J14" s="204"/>
      <c r="K14" s="204"/>
      <c r="L14" s="60">
        <f t="shared" si="4"/>
        <v>0</v>
      </c>
      <c r="M14" s="61" t="e">
        <f t="shared" si="5"/>
        <v>#DIV/0!</v>
      </c>
      <c r="N14" s="196"/>
      <c r="O14" s="204"/>
      <c r="P14" s="204"/>
      <c r="Q14" s="65">
        <f t="shared" si="2"/>
        <v>0</v>
      </c>
      <c r="R14" s="61" t="str">
        <f t="shared" si="3"/>
        <v>-</v>
      </c>
      <c r="S14" s="196"/>
      <c r="T14" s="204"/>
      <c r="U14" s="204"/>
      <c r="V14" s="205">
        <f t="shared" si="6"/>
        <v>0</v>
      </c>
      <c r="W14" s="61" t="str">
        <f t="shared" si="7"/>
        <v>-</v>
      </c>
      <c r="X14" s="196"/>
    </row>
    <row r="15" spans="1:24" ht="18" customHeight="1" x14ac:dyDescent="0.25">
      <c r="A15" s="280" t="s">
        <v>418</v>
      </c>
      <c r="B15" s="285" t="s">
        <v>419</v>
      </c>
      <c r="C15" s="565" t="s">
        <v>391</v>
      </c>
      <c r="D15" s="286" t="s">
        <v>391</v>
      </c>
      <c r="E15" s="282" t="s">
        <v>391</v>
      </c>
      <c r="F15" s="283" t="s">
        <v>391</v>
      </c>
      <c r="G15" s="282" t="s">
        <v>391</v>
      </c>
      <c r="H15" s="283" t="s">
        <v>391</v>
      </c>
      <c r="I15" s="284" t="s">
        <v>391</v>
      </c>
      <c r="J15" s="282" t="s">
        <v>391</v>
      </c>
      <c r="K15" s="283" t="s">
        <v>391</v>
      </c>
      <c r="L15" s="283" t="s">
        <v>391</v>
      </c>
      <c r="M15" s="284" t="s">
        <v>391</v>
      </c>
      <c r="N15" s="284" t="s">
        <v>391</v>
      </c>
      <c r="O15" s="282" t="s">
        <v>391</v>
      </c>
      <c r="P15" s="283" t="s">
        <v>391</v>
      </c>
      <c r="Q15" s="282" t="s">
        <v>391</v>
      </c>
      <c r="R15" s="283" t="s">
        <v>391</v>
      </c>
      <c r="S15" s="284" t="s">
        <v>391</v>
      </c>
      <c r="T15" s="282"/>
      <c r="U15" s="283" t="s">
        <v>391</v>
      </c>
      <c r="V15" s="283" t="s">
        <v>391</v>
      </c>
      <c r="W15" s="284" t="s">
        <v>391</v>
      </c>
      <c r="X15" s="284" t="s">
        <v>391</v>
      </c>
    </row>
    <row r="16" spans="1:24" ht="18" customHeight="1" x14ac:dyDescent="0.25">
      <c r="A16" s="210" t="s">
        <v>420</v>
      </c>
      <c r="B16" s="211" t="s">
        <v>421</v>
      </c>
      <c r="C16" s="580">
        <v>220</v>
      </c>
      <c r="D16" s="212">
        <v>220</v>
      </c>
      <c r="E16" s="213">
        <v>220</v>
      </c>
      <c r="F16" s="213"/>
      <c r="G16" s="356">
        <f t="shared" si="0"/>
        <v>-220</v>
      </c>
      <c r="H16" s="357">
        <f t="shared" si="1"/>
        <v>-1</v>
      </c>
      <c r="I16" s="196"/>
      <c r="J16" s="213">
        <v>220</v>
      </c>
      <c r="K16" s="213"/>
      <c r="L16" s="214">
        <f>K16-J16</f>
        <v>-220</v>
      </c>
      <c r="M16" s="61">
        <f>L16/J16</f>
        <v>-1</v>
      </c>
      <c r="N16" s="196"/>
      <c r="O16" s="213">
        <v>220</v>
      </c>
      <c r="P16" s="213"/>
      <c r="Q16" s="65">
        <f t="shared" si="2"/>
        <v>-220</v>
      </c>
      <c r="R16" s="61">
        <f t="shared" si="3"/>
        <v>-1</v>
      </c>
      <c r="S16" s="196"/>
      <c r="T16" s="213">
        <v>220</v>
      </c>
      <c r="U16" s="213"/>
      <c r="V16" s="214">
        <f t="shared" ref="V16:V30" si="8">U16-T16</f>
        <v>-220</v>
      </c>
      <c r="W16" s="61">
        <f t="shared" ref="W16:W30" si="9">IFERROR(V16/ABS(T16), "-")</f>
        <v>-1</v>
      </c>
      <c r="X16" s="196"/>
    </row>
    <row r="17" spans="1:24" ht="18" customHeight="1" x14ac:dyDescent="0.25">
      <c r="A17" s="210" t="s">
        <v>422</v>
      </c>
      <c r="B17" s="16" t="s">
        <v>423</v>
      </c>
      <c r="C17" s="580" t="s">
        <v>424</v>
      </c>
      <c r="D17" s="215">
        <v>45272</v>
      </c>
      <c r="E17" s="213">
        <v>11318</v>
      </c>
      <c r="F17" s="213"/>
      <c r="G17" s="356">
        <f>F17-E17</f>
        <v>-11318</v>
      </c>
      <c r="H17" s="357">
        <f t="shared" si="1"/>
        <v>-1</v>
      </c>
      <c r="I17" s="196"/>
      <c r="J17" s="213">
        <v>22262</v>
      </c>
      <c r="K17" s="213"/>
      <c r="L17" s="214">
        <f t="shared" ref="L17:L30" si="10">K17-J17</f>
        <v>-22262</v>
      </c>
      <c r="M17" s="61">
        <f t="shared" ref="M17:M30" si="11">L17/J17</f>
        <v>-1</v>
      </c>
      <c r="N17" s="196"/>
      <c r="O17" s="213">
        <v>33627</v>
      </c>
      <c r="P17" s="213"/>
      <c r="Q17" s="65">
        <f t="shared" si="2"/>
        <v>-33627</v>
      </c>
      <c r="R17" s="61">
        <f t="shared" si="3"/>
        <v>-1</v>
      </c>
      <c r="S17" s="196"/>
      <c r="T17" s="213">
        <v>45272</v>
      </c>
      <c r="U17" s="213"/>
      <c r="V17" s="65">
        <f t="shared" si="8"/>
        <v>-45272</v>
      </c>
      <c r="W17" s="61">
        <f t="shared" si="9"/>
        <v>-1</v>
      </c>
      <c r="X17" s="196"/>
    </row>
    <row r="18" spans="1:24" ht="32.450000000000003" customHeight="1" x14ac:dyDescent="0.25">
      <c r="A18" s="216" t="s">
        <v>425</v>
      </c>
      <c r="B18" s="15" t="s">
        <v>426</v>
      </c>
      <c r="C18" s="586">
        <v>660</v>
      </c>
      <c r="D18" s="594">
        <f>29867361/D17</f>
        <v>659.73142339635979</v>
      </c>
      <c r="E18" s="724">
        <f>7278757/E17</f>
        <v>643.11335925075105</v>
      </c>
      <c r="F18" s="713"/>
      <c r="G18" s="714"/>
      <c r="H18" s="715"/>
      <c r="I18" s="595"/>
      <c r="J18" s="724">
        <f>14636654/J17</f>
        <v>657.47255412811069</v>
      </c>
      <c r="K18" s="18"/>
      <c r="L18" s="68"/>
      <c r="M18" s="72"/>
      <c r="N18" s="217"/>
      <c r="O18" s="724">
        <f>22047383/O17</f>
        <v>655.64525530079993</v>
      </c>
      <c r="P18" s="18"/>
      <c r="Q18" s="82"/>
      <c r="R18" s="72"/>
      <c r="S18" s="217"/>
      <c r="T18" s="725">
        <v>660</v>
      </c>
      <c r="U18" s="18"/>
      <c r="V18" s="68">
        <f t="shared" si="8"/>
        <v>-660</v>
      </c>
      <c r="W18" s="72">
        <f t="shared" si="9"/>
        <v>-1</v>
      </c>
      <c r="X18" s="217"/>
    </row>
    <row r="19" spans="1:24" ht="18" customHeight="1" x14ac:dyDescent="0.25">
      <c r="A19" s="216" t="s">
        <v>427</v>
      </c>
      <c r="B19" s="15" t="s">
        <v>428</v>
      </c>
      <c r="C19" s="586">
        <v>631</v>
      </c>
      <c r="D19" s="594">
        <f>27976595.38/D17</f>
        <v>617.96685324262239</v>
      </c>
      <c r="E19" s="716">
        <f>7232347.847/E17</f>
        <v>639.01288628732993</v>
      </c>
      <c r="F19" s="717"/>
      <c r="G19" s="718"/>
      <c r="H19" s="719"/>
      <c r="I19" s="720"/>
      <c r="J19" s="716">
        <f>14125769.48/J17</f>
        <v>634.52382894618631</v>
      </c>
      <c r="K19" s="717"/>
      <c r="L19" s="721"/>
      <c r="M19" s="722"/>
      <c r="N19" s="720"/>
      <c r="O19" s="716">
        <f>21024774.12/O17</f>
        <v>625.23490409492376</v>
      </c>
      <c r="P19" s="717"/>
      <c r="Q19" s="723"/>
      <c r="R19" s="722"/>
      <c r="S19" s="720"/>
      <c r="T19" s="716">
        <v>618</v>
      </c>
      <c r="U19" s="18"/>
      <c r="V19" s="68">
        <f t="shared" si="8"/>
        <v>-618</v>
      </c>
      <c r="W19" s="72">
        <f t="shared" si="9"/>
        <v>-1</v>
      </c>
      <c r="X19" s="217"/>
    </row>
    <row r="20" spans="1:24" ht="18" customHeight="1" x14ac:dyDescent="0.25">
      <c r="A20" s="210" t="s">
        <v>429</v>
      </c>
      <c r="B20" s="218" t="s">
        <v>430</v>
      </c>
      <c r="C20" s="580" t="s">
        <v>431</v>
      </c>
      <c r="D20" s="212">
        <v>7697</v>
      </c>
      <c r="E20" s="213">
        <v>1924</v>
      </c>
      <c r="F20" s="213"/>
      <c r="G20" s="356">
        <f t="shared" si="0"/>
        <v>-1924</v>
      </c>
      <c r="H20" s="357">
        <f t="shared" si="1"/>
        <v>-1</v>
      </c>
      <c r="I20" s="196"/>
      <c r="J20" s="213">
        <v>3963</v>
      </c>
      <c r="K20" s="213"/>
      <c r="L20" s="214">
        <f t="shared" si="10"/>
        <v>-3963</v>
      </c>
      <c r="M20" s="61">
        <f t="shared" si="11"/>
        <v>-1</v>
      </c>
      <c r="N20" s="196"/>
      <c r="O20" s="213">
        <v>5831</v>
      </c>
      <c r="P20" s="213"/>
      <c r="Q20" s="65">
        <f t="shared" si="2"/>
        <v>-5831</v>
      </c>
      <c r="R20" s="61">
        <f t="shared" si="3"/>
        <v>-1</v>
      </c>
      <c r="S20" s="196"/>
      <c r="T20" s="212">
        <v>7697</v>
      </c>
      <c r="U20" s="213"/>
      <c r="V20" s="65">
        <f t="shared" si="8"/>
        <v>-7697</v>
      </c>
      <c r="W20" s="61">
        <f t="shared" si="9"/>
        <v>-1</v>
      </c>
      <c r="X20" s="196"/>
    </row>
    <row r="21" spans="1:24" ht="18" customHeight="1" x14ac:dyDescent="0.25">
      <c r="A21" s="389" t="s">
        <v>432</v>
      </c>
      <c r="B21" s="390" t="s">
        <v>433</v>
      </c>
      <c r="C21" s="586" t="s">
        <v>434</v>
      </c>
      <c r="D21" s="391">
        <v>7302</v>
      </c>
      <c r="E21" s="18">
        <v>1826</v>
      </c>
      <c r="F21" s="18"/>
      <c r="G21" s="356">
        <f t="shared" si="0"/>
        <v>-1826</v>
      </c>
      <c r="H21" s="357">
        <f t="shared" si="1"/>
        <v>-1</v>
      </c>
      <c r="I21" s="217"/>
      <c r="J21" s="18">
        <v>3775</v>
      </c>
      <c r="K21" s="18"/>
      <c r="L21" s="214">
        <f t="shared" si="10"/>
        <v>-3775</v>
      </c>
      <c r="M21" s="61">
        <f t="shared" si="11"/>
        <v>-1</v>
      </c>
      <c r="N21" s="217"/>
      <c r="O21" s="18">
        <v>5538</v>
      </c>
      <c r="P21" s="18"/>
      <c r="Q21" s="65">
        <f t="shared" si="2"/>
        <v>-5538</v>
      </c>
      <c r="R21" s="61">
        <f t="shared" si="3"/>
        <v>-1</v>
      </c>
      <c r="S21" s="217"/>
      <c r="T21" s="391">
        <v>7302</v>
      </c>
      <c r="U21" s="18"/>
      <c r="V21" s="82">
        <f t="shared" si="8"/>
        <v>-7302</v>
      </c>
      <c r="W21" s="72">
        <f t="shared" si="9"/>
        <v>-1</v>
      </c>
      <c r="X21" s="217"/>
    </row>
    <row r="22" spans="1:24" ht="18" customHeight="1" x14ac:dyDescent="0.25">
      <c r="A22" s="216" t="s">
        <v>435</v>
      </c>
      <c r="B22" s="392" t="s">
        <v>436</v>
      </c>
      <c r="C22" s="586" t="s">
        <v>437</v>
      </c>
      <c r="D22" s="391">
        <v>3923</v>
      </c>
      <c r="E22" s="18">
        <v>955</v>
      </c>
      <c r="F22" s="18"/>
      <c r="G22" s="356">
        <f t="shared" si="0"/>
        <v>-955</v>
      </c>
      <c r="H22" s="357">
        <f t="shared" si="1"/>
        <v>-1</v>
      </c>
      <c r="I22" s="217"/>
      <c r="J22" s="18">
        <v>2081</v>
      </c>
      <c r="K22" s="18"/>
      <c r="L22" s="214">
        <f t="shared" si="10"/>
        <v>-2081</v>
      </c>
      <c r="M22" s="61">
        <f t="shared" si="11"/>
        <v>-1</v>
      </c>
      <c r="N22" s="217"/>
      <c r="O22" s="18">
        <v>3022</v>
      </c>
      <c r="P22" s="18"/>
      <c r="Q22" s="65">
        <f t="shared" si="2"/>
        <v>-3022</v>
      </c>
      <c r="R22" s="61">
        <f t="shared" si="3"/>
        <v>-1</v>
      </c>
      <c r="S22" s="217"/>
      <c r="T22" s="391">
        <v>3923</v>
      </c>
      <c r="U22" s="18"/>
      <c r="V22" s="82">
        <f t="shared" si="8"/>
        <v>-3923</v>
      </c>
      <c r="W22" s="72">
        <f t="shared" si="9"/>
        <v>-1</v>
      </c>
      <c r="X22" s="217"/>
    </row>
    <row r="23" spans="1:24" ht="18" customHeight="1" x14ac:dyDescent="0.25">
      <c r="A23" s="389" t="s">
        <v>438</v>
      </c>
      <c r="B23" s="390" t="s">
        <v>439</v>
      </c>
      <c r="C23" s="586" t="s">
        <v>440</v>
      </c>
      <c r="D23" s="391">
        <v>3561</v>
      </c>
      <c r="E23" s="18">
        <v>866</v>
      </c>
      <c r="F23" s="18"/>
      <c r="G23" s="356">
        <f t="shared" si="0"/>
        <v>-866</v>
      </c>
      <c r="H23" s="357">
        <f t="shared" si="1"/>
        <v>-1</v>
      </c>
      <c r="I23" s="217"/>
      <c r="J23" s="18">
        <v>1914</v>
      </c>
      <c r="K23" s="18"/>
      <c r="L23" s="214">
        <f t="shared" si="10"/>
        <v>-1914</v>
      </c>
      <c r="M23" s="61">
        <f t="shared" si="11"/>
        <v>-1</v>
      </c>
      <c r="N23" s="217"/>
      <c r="O23" s="18">
        <v>2756</v>
      </c>
      <c r="P23" s="18"/>
      <c r="Q23" s="65">
        <f t="shared" si="2"/>
        <v>-2756</v>
      </c>
      <c r="R23" s="61">
        <f t="shared" si="3"/>
        <v>-1</v>
      </c>
      <c r="S23" s="217"/>
      <c r="T23" s="391">
        <v>3561</v>
      </c>
      <c r="U23" s="18"/>
      <c r="V23" s="82">
        <f t="shared" si="8"/>
        <v>-3561</v>
      </c>
      <c r="W23" s="72">
        <f t="shared" si="9"/>
        <v>-1</v>
      </c>
      <c r="X23" s="217"/>
    </row>
    <row r="24" spans="1:24" ht="18" customHeight="1" x14ac:dyDescent="0.25">
      <c r="A24" s="219" t="s">
        <v>441</v>
      </c>
      <c r="B24" s="218" t="s">
        <v>442</v>
      </c>
      <c r="C24" s="580" t="s">
        <v>402</v>
      </c>
      <c r="D24" s="212">
        <v>3774</v>
      </c>
      <c r="E24" s="213">
        <v>969</v>
      </c>
      <c r="F24" s="213"/>
      <c r="G24" s="356">
        <f t="shared" si="0"/>
        <v>-969</v>
      </c>
      <c r="H24" s="357">
        <f t="shared" si="1"/>
        <v>-1</v>
      </c>
      <c r="I24" s="196"/>
      <c r="J24" s="213">
        <v>1882</v>
      </c>
      <c r="K24" s="213"/>
      <c r="L24" s="214">
        <f t="shared" si="10"/>
        <v>-1882</v>
      </c>
      <c r="M24" s="61">
        <f t="shared" si="11"/>
        <v>-1</v>
      </c>
      <c r="N24" s="196"/>
      <c r="O24" s="213">
        <v>2809</v>
      </c>
      <c r="P24" s="213"/>
      <c r="Q24" s="65">
        <f t="shared" si="2"/>
        <v>-2809</v>
      </c>
      <c r="R24" s="61">
        <f t="shared" si="3"/>
        <v>-1</v>
      </c>
      <c r="S24" s="196"/>
      <c r="T24" s="212">
        <v>3774</v>
      </c>
      <c r="U24" s="213"/>
      <c r="V24" s="65">
        <f t="shared" si="8"/>
        <v>-3774</v>
      </c>
      <c r="W24" s="61">
        <f t="shared" si="9"/>
        <v>-1</v>
      </c>
      <c r="X24" s="196"/>
    </row>
    <row r="25" spans="1:24" ht="18" customHeight="1" x14ac:dyDescent="0.25">
      <c r="A25" s="219" t="s">
        <v>443</v>
      </c>
      <c r="B25" s="220" t="s">
        <v>444</v>
      </c>
      <c r="C25" s="580" t="s">
        <v>445</v>
      </c>
      <c r="D25" s="212">
        <v>3741</v>
      </c>
      <c r="E25" s="213">
        <v>960</v>
      </c>
      <c r="F25" s="213"/>
      <c r="G25" s="356">
        <f t="shared" si="0"/>
        <v>-960</v>
      </c>
      <c r="H25" s="357">
        <f t="shared" si="1"/>
        <v>-1</v>
      </c>
      <c r="I25" s="196"/>
      <c r="J25" s="213">
        <v>1861</v>
      </c>
      <c r="K25" s="213"/>
      <c r="L25" s="214">
        <f t="shared" si="10"/>
        <v>-1861</v>
      </c>
      <c r="M25" s="61">
        <f t="shared" si="11"/>
        <v>-1</v>
      </c>
      <c r="N25" s="196"/>
      <c r="O25" s="213">
        <v>2782</v>
      </c>
      <c r="P25" s="213"/>
      <c r="Q25" s="65">
        <f t="shared" si="2"/>
        <v>-2782</v>
      </c>
      <c r="R25" s="61">
        <f t="shared" si="3"/>
        <v>-1</v>
      </c>
      <c r="S25" s="196"/>
      <c r="T25" s="212">
        <v>3741</v>
      </c>
      <c r="U25" s="213"/>
      <c r="V25" s="65">
        <f t="shared" si="8"/>
        <v>-3741</v>
      </c>
      <c r="W25" s="61">
        <f t="shared" si="9"/>
        <v>-1</v>
      </c>
      <c r="X25" s="196"/>
    </row>
    <row r="26" spans="1:24" ht="54" customHeight="1" x14ac:dyDescent="0.25">
      <c r="A26" s="210" t="s">
        <v>446</v>
      </c>
      <c r="B26" s="201" t="s">
        <v>447</v>
      </c>
      <c r="C26" s="580" t="s">
        <v>407</v>
      </c>
      <c r="D26" s="221"/>
      <c r="E26" s="213"/>
      <c r="F26" s="213"/>
      <c r="G26" s="356">
        <f t="shared" si="0"/>
        <v>0</v>
      </c>
      <c r="H26" s="357" t="str">
        <f t="shared" si="1"/>
        <v>-</v>
      </c>
      <c r="I26" s="196"/>
      <c r="J26" s="213"/>
      <c r="K26" s="213"/>
      <c r="L26" s="214">
        <f>K26-J26</f>
        <v>0</v>
      </c>
      <c r="M26" s="61" t="e">
        <f t="shared" si="11"/>
        <v>#DIV/0!</v>
      </c>
      <c r="N26" s="196"/>
      <c r="O26" s="213"/>
      <c r="P26" s="213"/>
      <c r="Q26" s="65">
        <f t="shared" si="2"/>
        <v>0</v>
      </c>
      <c r="R26" s="61" t="str">
        <f t="shared" si="3"/>
        <v>-</v>
      </c>
      <c r="S26" s="196"/>
      <c r="T26" s="221"/>
      <c r="U26" s="213"/>
      <c r="V26" s="65">
        <f t="shared" si="8"/>
        <v>0</v>
      </c>
      <c r="W26" s="61" t="str">
        <f t="shared" si="9"/>
        <v>-</v>
      </c>
      <c r="X26" s="196"/>
    </row>
    <row r="27" spans="1:24" ht="50.25" x14ac:dyDescent="0.25">
      <c r="A27" s="210" t="s">
        <v>448</v>
      </c>
      <c r="B27" s="201" t="s">
        <v>449</v>
      </c>
      <c r="C27" s="586">
        <v>21</v>
      </c>
      <c r="D27" s="221">
        <v>28</v>
      </c>
      <c r="E27" s="213">
        <v>7</v>
      </c>
      <c r="F27" s="213"/>
      <c r="G27" s="356">
        <f t="shared" si="0"/>
        <v>-7</v>
      </c>
      <c r="H27" s="357">
        <f t="shared" si="1"/>
        <v>-1</v>
      </c>
      <c r="I27" s="366"/>
      <c r="J27" s="213">
        <v>14</v>
      </c>
      <c r="K27" s="213"/>
      <c r="L27" s="214">
        <f t="shared" si="10"/>
        <v>-14</v>
      </c>
      <c r="M27" s="61">
        <f t="shared" si="11"/>
        <v>-1</v>
      </c>
      <c r="N27" s="530"/>
      <c r="O27" s="213">
        <v>21</v>
      </c>
      <c r="P27" s="213"/>
      <c r="Q27" s="65">
        <f t="shared" si="2"/>
        <v>-21</v>
      </c>
      <c r="R27" s="61">
        <f t="shared" si="3"/>
        <v>-1</v>
      </c>
      <c r="S27" s="366"/>
      <c r="T27" s="221">
        <v>28</v>
      </c>
      <c r="U27" s="18"/>
      <c r="V27" s="65">
        <f t="shared" si="8"/>
        <v>-28</v>
      </c>
      <c r="W27" s="61">
        <f t="shared" si="9"/>
        <v>-1</v>
      </c>
      <c r="X27" s="196"/>
    </row>
    <row r="28" spans="1:24" x14ac:dyDescent="0.25">
      <c r="A28" s="210" t="s">
        <v>450</v>
      </c>
      <c r="B28" s="201" t="s">
        <v>451</v>
      </c>
      <c r="C28" s="586" t="s">
        <v>452</v>
      </c>
      <c r="D28" s="221">
        <v>19700</v>
      </c>
      <c r="E28" s="213">
        <v>5057</v>
      </c>
      <c r="F28" s="213"/>
      <c r="G28" s="356">
        <f t="shared" si="0"/>
        <v>-5057</v>
      </c>
      <c r="H28" s="357">
        <f t="shared" si="1"/>
        <v>-1</v>
      </c>
      <c r="I28" s="196"/>
      <c r="J28" s="213">
        <v>9573</v>
      </c>
      <c r="K28" s="213"/>
      <c r="L28" s="214">
        <f t="shared" si="10"/>
        <v>-9573</v>
      </c>
      <c r="M28" s="61">
        <f t="shared" si="11"/>
        <v>-1</v>
      </c>
      <c r="N28" s="530"/>
      <c r="O28" s="213">
        <v>14292</v>
      </c>
      <c r="P28" s="213"/>
      <c r="Q28" s="65">
        <f t="shared" si="2"/>
        <v>-14292</v>
      </c>
      <c r="R28" s="61">
        <f t="shared" si="3"/>
        <v>-1</v>
      </c>
      <c r="S28" s="366"/>
      <c r="T28" s="221">
        <v>19700</v>
      </c>
      <c r="U28" s="18"/>
      <c r="V28" s="65">
        <f t="shared" si="8"/>
        <v>-19700</v>
      </c>
      <c r="W28" s="61">
        <f t="shared" si="9"/>
        <v>-1</v>
      </c>
      <c r="X28" s="366"/>
    </row>
    <row r="29" spans="1:24" ht="18" customHeight="1" x14ac:dyDescent="0.25">
      <c r="A29" s="216" t="s">
        <v>453</v>
      </c>
      <c r="B29" s="15" t="s">
        <v>454</v>
      </c>
      <c r="C29" s="594">
        <v>5.97</v>
      </c>
      <c r="D29" s="181">
        <v>6</v>
      </c>
      <c r="E29" s="18">
        <v>6</v>
      </c>
      <c r="F29" s="18"/>
      <c r="G29" s="356">
        <f t="shared" si="0"/>
        <v>-6</v>
      </c>
      <c r="H29" s="357">
        <f t="shared" si="1"/>
        <v>-1</v>
      </c>
      <c r="I29" s="217"/>
      <c r="J29" s="18">
        <v>6</v>
      </c>
      <c r="K29" s="18"/>
      <c r="L29" s="214">
        <f t="shared" si="10"/>
        <v>-6</v>
      </c>
      <c r="M29" s="61">
        <f t="shared" si="11"/>
        <v>-1</v>
      </c>
      <c r="N29" s="217"/>
      <c r="O29" s="18">
        <v>6</v>
      </c>
      <c r="P29" s="18"/>
      <c r="Q29" s="65">
        <f t="shared" si="2"/>
        <v>-6</v>
      </c>
      <c r="R29" s="61">
        <f t="shared" si="3"/>
        <v>-1</v>
      </c>
      <c r="S29" s="217"/>
      <c r="T29" s="181">
        <v>6</v>
      </c>
      <c r="U29" s="18"/>
      <c r="V29" s="82">
        <f t="shared" si="8"/>
        <v>-6</v>
      </c>
      <c r="W29" s="72">
        <f t="shared" si="9"/>
        <v>-1</v>
      </c>
      <c r="X29" s="217"/>
    </row>
    <row r="30" spans="1:24" ht="18" customHeight="1" x14ac:dyDescent="0.25">
      <c r="A30" s="216" t="s">
        <v>455</v>
      </c>
      <c r="B30" s="15" t="s">
        <v>456</v>
      </c>
      <c r="C30" s="594">
        <v>55.39</v>
      </c>
      <c r="D30" s="181">
        <v>60</v>
      </c>
      <c r="E30" s="18">
        <v>60</v>
      </c>
      <c r="F30" s="18"/>
      <c r="G30" s="356">
        <f t="shared" si="0"/>
        <v>-60</v>
      </c>
      <c r="H30" s="357">
        <f t="shared" si="1"/>
        <v>-1</v>
      </c>
      <c r="I30" s="217"/>
      <c r="J30" s="18">
        <v>60</v>
      </c>
      <c r="K30" s="18"/>
      <c r="L30" s="214">
        <f t="shared" si="10"/>
        <v>-60</v>
      </c>
      <c r="M30" s="61">
        <f t="shared" si="11"/>
        <v>-1</v>
      </c>
      <c r="N30" s="217"/>
      <c r="O30" s="18">
        <v>60</v>
      </c>
      <c r="P30" s="18"/>
      <c r="Q30" s="65">
        <f t="shared" si="2"/>
        <v>-60</v>
      </c>
      <c r="R30" s="61">
        <f t="shared" si="3"/>
        <v>-1</v>
      </c>
      <c r="S30" s="217"/>
      <c r="T30" s="181">
        <v>60</v>
      </c>
      <c r="U30" s="18"/>
      <c r="V30" s="82">
        <f t="shared" si="8"/>
        <v>-60</v>
      </c>
      <c r="W30" s="72">
        <f t="shared" si="9"/>
        <v>-1</v>
      </c>
      <c r="X30" s="217"/>
    </row>
    <row r="31" spans="1:24" ht="18" customHeight="1" x14ac:dyDescent="0.25">
      <c r="A31" s="287" t="s">
        <v>457</v>
      </c>
      <c r="B31" s="288" t="s">
        <v>458</v>
      </c>
      <c r="C31" s="565" t="s">
        <v>391</v>
      </c>
      <c r="D31" s="282" t="s">
        <v>391</v>
      </c>
      <c r="E31" s="282" t="s">
        <v>391</v>
      </c>
      <c r="F31" s="283" t="s">
        <v>391</v>
      </c>
      <c r="G31" s="358" t="s">
        <v>391</v>
      </c>
      <c r="H31" s="359" t="s">
        <v>391</v>
      </c>
      <c r="I31" s="284" t="s">
        <v>391</v>
      </c>
      <c r="J31" s="282" t="s">
        <v>391</v>
      </c>
      <c r="K31" s="283" t="s">
        <v>391</v>
      </c>
      <c r="L31" s="283" t="s">
        <v>391</v>
      </c>
      <c r="M31" s="284" t="s">
        <v>391</v>
      </c>
      <c r="N31" s="284" t="s">
        <v>391</v>
      </c>
      <c r="O31" s="282" t="s">
        <v>391</v>
      </c>
      <c r="P31" s="283" t="s">
        <v>391</v>
      </c>
      <c r="Q31" s="282" t="s">
        <v>391</v>
      </c>
      <c r="R31" s="283" t="s">
        <v>391</v>
      </c>
      <c r="S31" s="284" t="s">
        <v>391</v>
      </c>
      <c r="T31" s="282"/>
      <c r="U31" s="283" t="s">
        <v>391</v>
      </c>
      <c r="V31" s="283" t="s">
        <v>391</v>
      </c>
      <c r="W31" s="284" t="s">
        <v>391</v>
      </c>
      <c r="X31" s="284" t="s">
        <v>391</v>
      </c>
    </row>
    <row r="32" spans="1:24" ht="18" customHeight="1" x14ac:dyDescent="0.25">
      <c r="A32" s="216" t="s">
        <v>459</v>
      </c>
      <c r="B32" s="15" t="s">
        <v>460</v>
      </c>
      <c r="C32" s="580">
        <v>115291</v>
      </c>
      <c r="D32" s="51">
        <v>116449</v>
      </c>
      <c r="E32" s="75">
        <v>29340</v>
      </c>
      <c r="F32" s="75"/>
      <c r="G32" s="356">
        <f t="shared" si="0"/>
        <v>-29340</v>
      </c>
      <c r="H32" s="357">
        <f t="shared" si="1"/>
        <v>-1</v>
      </c>
      <c r="I32" s="196"/>
      <c r="J32" s="75">
        <v>59173</v>
      </c>
      <c r="K32" s="75"/>
      <c r="L32" s="60">
        <f>K32-J32</f>
        <v>-59173</v>
      </c>
      <c r="M32" s="61">
        <f>L32/J32</f>
        <v>-1</v>
      </c>
      <c r="N32" s="196"/>
      <c r="O32" s="75">
        <v>88570</v>
      </c>
      <c r="P32" s="75"/>
      <c r="Q32" s="65">
        <f t="shared" si="2"/>
        <v>-88570</v>
      </c>
      <c r="R32" s="61">
        <f t="shared" si="3"/>
        <v>-1</v>
      </c>
      <c r="S32" s="196"/>
      <c r="T32" s="51">
        <v>116449</v>
      </c>
      <c r="U32" s="75"/>
      <c r="V32" s="60">
        <f t="shared" ref="V32:V40" si="12">U32-T32</f>
        <v>-116449</v>
      </c>
      <c r="W32" s="61">
        <f t="shared" ref="W32:W40" si="13">IFERROR(V32/ABS(T32), "-")</f>
        <v>-1</v>
      </c>
      <c r="X32" s="196"/>
    </row>
    <row r="33" spans="1:37" ht="18" customHeight="1" x14ac:dyDescent="0.25">
      <c r="A33" s="210" t="s">
        <v>461</v>
      </c>
      <c r="B33" s="35" t="s">
        <v>462</v>
      </c>
      <c r="C33" s="580" t="s">
        <v>463</v>
      </c>
      <c r="D33" s="215">
        <v>92500</v>
      </c>
      <c r="E33" s="213">
        <v>23353</v>
      </c>
      <c r="F33" s="213"/>
      <c r="G33" s="356">
        <f t="shared" si="0"/>
        <v>-23353</v>
      </c>
      <c r="H33" s="357">
        <f t="shared" si="1"/>
        <v>-1</v>
      </c>
      <c r="I33" s="196"/>
      <c r="J33" s="213">
        <v>47199</v>
      </c>
      <c r="K33" s="213"/>
      <c r="L33" s="60">
        <f t="shared" ref="L33:L40" si="14">K33-J33</f>
        <v>-47199</v>
      </c>
      <c r="M33" s="61">
        <f t="shared" ref="M33:M40" si="15">L33/J33</f>
        <v>-1</v>
      </c>
      <c r="N33" s="196"/>
      <c r="O33" s="213">
        <v>70455</v>
      </c>
      <c r="P33" s="213"/>
      <c r="Q33" s="65">
        <f t="shared" si="2"/>
        <v>-70455</v>
      </c>
      <c r="R33" s="61">
        <f t="shared" si="3"/>
        <v>-1</v>
      </c>
      <c r="S33" s="196"/>
      <c r="T33" s="215">
        <v>92500</v>
      </c>
      <c r="U33" s="213"/>
      <c r="V33" s="65">
        <f t="shared" si="12"/>
        <v>-92500</v>
      </c>
      <c r="W33" s="61">
        <f t="shared" si="13"/>
        <v>-1</v>
      </c>
      <c r="X33" s="196"/>
    </row>
    <row r="34" spans="1:37" ht="18" customHeight="1" x14ac:dyDescent="0.25">
      <c r="A34" s="210" t="s">
        <v>464</v>
      </c>
      <c r="B34" s="223" t="s">
        <v>465</v>
      </c>
      <c r="C34" s="580">
        <v>642</v>
      </c>
      <c r="D34" s="215">
        <v>645</v>
      </c>
      <c r="E34" s="213">
        <v>179</v>
      </c>
      <c r="F34" s="213"/>
      <c r="G34" s="356">
        <f t="shared" si="0"/>
        <v>-179</v>
      </c>
      <c r="H34" s="357">
        <f t="shared" si="1"/>
        <v>-1</v>
      </c>
      <c r="I34" s="196"/>
      <c r="J34" s="213">
        <v>351</v>
      </c>
      <c r="K34" s="213"/>
      <c r="L34" s="60">
        <f t="shared" si="14"/>
        <v>-351</v>
      </c>
      <c r="M34" s="61">
        <f t="shared" si="15"/>
        <v>-1</v>
      </c>
      <c r="N34" s="196"/>
      <c r="O34" s="213">
        <v>501</v>
      </c>
      <c r="P34" s="213"/>
      <c r="Q34" s="65">
        <f t="shared" si="2"/>
        <v>-501</v>
      </c>
      <c r="R34" s="61">
        <f t="shared" si="3"/>
        <v>-1</v>
      </c>
      <c r="S34" s="196"/>
      <c r="T34" s="215">
        <v>645</v>
      </c>
      <c r="U34" s="213"/>
      <c r="V34" s="65">
        <f t="shared" si="12"/>
        <v>-645</v>
      </c>
      <c r="W34" s="61">
        <f t="shared" si="13"/>
        <v>-1</v>
      </c>
      <c r="X34" s="196"/>
    </row>
    <row r="35" spans="1:37" ht="18" customHeight="1" x14ac:dyDescent="0.25">
      <c r="A35" s="210" t="s">
        <v>466</v>
      </c>
      <c r="B35" s="35" t="s">
        <v>467</v>
      </c>
      <c r="C35" s="580" t="s">
        <v>468</v>
      </c>
      <c r="D35" s="215">
        <v>23949</v>
      </c>
      <c r="E35" s="213">
        <v>5987</v>
      </c>
      <c r="F35" s="213"/>
      <c r="G35" s="356">
        <f t="shared" si="0"/>
        <v>-5987</v>
      </c>
      <c r="H35" s="357">
        <f t="shared" si="1"/>
        <v>-1</v>
      </c>
      <c r="I35" s="196"/>
      <c r="J35" s="213">
        <v>11974</v>
      </c>
      <c r="K35" s="213"/>
      <c r="L35" s="60">
        <f t="shared" si="14"/>
        <v>-11974</v>
      </c>
      <c r="M35" s="61">
        <f t="shared" si="15"/>
        <v>-1</v>
      </c>
      <c r="N35" s="196"/>
      <c r="O35" s="213">
        <v>18115</v>
      </c>
      <c r="P35" s="213"/>
      <c r="Q35" s="65">
        <f t="shared" si="2"/>
        <v>-18115</v>
      </c>
      <c r="R35" s="61">
        <f t="shared" si="3"/>
        <v>-1</v>
      </c>
      <c r="S35" s="196"/>
      <c r="T35" s="215">
        <v>23949</v>
      </c>
      <c r="U35" s="213"/>
      <c r="V35" s="65">
        <f t="shared" si="12"/>
        <v>-23949</v>
      </c>
      <c r="W35" s="61">
        <f t="shared" si="13"/>
        <v>-1</v>
      </c>
      <c r="X35" s="196"/>
    </row>
    <row r="36" spans="1:37" ht="18" customHeight="1" x14ac:dyDescent="0.25">
      <c r="A36" s="210" t="s">
        <v>469</v>
      </c>
      <c r="B36" s="223" t="s">
        <v>465</v>
      </c>
      <c r="C36" s="580" t="s">
        <v>407</v>
      </c>
      <c r="D36" s="215"/>
      <c r="E36" s="213"/>
      <c r="F36" s="213"/>
      <c r="G36" s="356">
        <f t="shared" si="0"/>
        <v>0</v>
      </c>
      <c r="H36" s="357" t="str">
        <f t="shared" si="1"/>
        <v>-</v>
      </c>
      <c r="I36" s="196"/>
      <c r="J36" s="213"/>
      <c r="K36" s="213"/>
      <c r="L36" s="60">
        <f t="shared" si="14"/>
        <v>0</v>
      </c>
      <c r="M36" s="61" t="e">
        <f t="shared" si="15"/>
        <v>#DIV/0!</v>
      </c>
      <c r="N36" s="196"/>
      <c r="O36" s="213"/>
      <c r="P36" s="213"/>
      <c r="Q36" s="65">
        <f t="shared" si="2"/>
        <v>0</v>
      </c>
      <c r="R36" s="61" t="str">
        <f t="shared" si="3"/>
        <v>-</v>
      </c>
      <c r="S36" s="196"/>
      <c r="T36" s="215"/>
      <c r="U36" s="213"/>
      <c r="V36" s="65">
        <f t="shared" si="12"/>
        <v>0</v>
      </c>
      <c r="W36" s="61" t="str">
        <f t="shared" si="13"/>
        <v>-</v>
      </c>
      <c r="X36" s="196"/>
    </row>
    <row r="37" spans="1:37" ht="18" customHeight="1" x14ac:dyDescent="0.25">
      <c r="A37" s="210" t="s">
        <v>470</v>
      </c>
      <c r="B37" s="16" t="s">
        <v>471</v>
      </c>
      <c r="C37" s="580" t="s">
        <v>407</v>
      </c>
      <c r="D37" s="215" t="s">
        <v>472</v>
      </c>
      <c r="E37" s="213"/>
      <c r="F37" s="213"/>
      <c r="G37" s="356">
        <f t="shared" si="0"/>
        <v>0</v>
      </c>
      <c r="H37" s="357" t="str">
        <f t="shared" si="1"/>
        <v>-</v>
      </c>
      <c r="I37" s="196"/>
      <c r="J37" s="213"/>
      <c r="K37" s="213"/>
      <c r="L37" s="60">
        <f t="shared" si="14"/>
        <v>0</v>
      </c>
      <c r="M37" s="61" t="e">
        <f t="shared" si="15"/>
        <v>#DIV/0!</v>
      </c>
      <c r="N37" s="196"/>
      <c r="O37" s="213"/>
      <c r="P37" s="213"/>
      <c r="Q37" s="65">
        <f t="shared" si="2"/>
        <v>0</v>
      </c>
      <c r="R37" s="61" t="str">
        <f t="shared" si="3"/>
        <v>-</v>
      </c>
      <c r="S37" s="196"/>
      <c r="T37" s="215"/>
      <c r="U37" s="213"/>
      <c r="V37" s="65">
        <f t="shared" si="12"/>
        <v>0</v>
      </c>
      <c r="W37" s="61" t="str">
        <f t="shared" si="13"/>
        <v>-</v>
      </c>
      <c r="X37" s="196"/>
      <c r="AK37" s="10" t="s">
        <v>73</v>
      </c>
    </row>
    <row r="38" spans="1:37" ht="18" customHeight="1" x14ac:dyDescent="0.25">
      <c r="A38" s="210" t="s">
        <v>473</v>
      </c>
      <c r="B38" s="16" t="s">
        <v>474</v>
      </c>
      <c r="C38" s="580" t="s">
        <v>407</v>
      </c>
      <c r="D38" s="215"/>
      <c r="E38" s="213"/>
      <c r="F38" s="213"/>
      <c r="G38" s="356">
        <f t="shared" si="0"/>
        <v>0</v>
      </c>
      <c r="H38" s="357" t="str">
        <f t="shared" si="1"/>
        <v>-</v>
      </c>
      <c r="I38" s="196"/>
      <c r="J38" s="213"/>
      <c r="K38" s="213"/>
      <c r="L38" s="60">
        <f t="shared" si="14"/>
        <v>0</v>
      </c>
      <c r="M38" s="61" t="e">
        <f t="shared" si="15"/>
        <v>#DIV/0!</v>
      </c>
      <c r="N38" s="196"/>
      <c r="O38" s="213"/>
      <c r="P38" s="213"/>
      <c r="Q38" s="65">
        <f t="shared" si="2"/>
        <v>0</v>
      </c>
      <c r="R38" s="61" t="str">
        <f t="shared" si="3"/>
        <v>-</v>
      </c>
      <c r="S38" s="196"/>
      <c r="T38" s="215"/>
      <c r="U38" s="213"/>
      <c r="V38" s="65">
        <f t="shared" si="12"/>
        <v>0</v>
      </c>
      <c r="W38" s="61" t="str">
        <f t="shared" si="13"/>
        <v>-</v>
      </c>
      <c r="X38" s="196"/>
    </row>
    <row r="39" spans="1:37" x14ac:dyDescent="0.25">
      <c r="A39" s="210" t="s">
        <v>475</v>
      </c>
      <c r="B39" s="15" t="s">
        <v>476</v>
      </c>
      <c r="C39" s="586" t="s">
        <v>477</v>
      </c>
      <c r="D39" s="181">
        <v>4021</v>
      </c>
      <c r="E39" s="213">
        <v>831</v>
      </c>
      <c r="F39" s="213"/>
      <c r="G39" s="356">
        <f t="shared" si="0"/>
        <v>-831</v>
      </c>
      <c r="H39" s="357">
        <f t="shared" si="1"/>
        <v>-1</v>
      </c>
      <c r="I39" s="366"/>
      <c r="J39" s="213">
        <v>2011</v>
      </c>
      <c r="K39" s="213"/>
      <c r="L39" s="60">
        <f t="shared" si="14"/>
        <v>-2011</v>
      </c>
      <c r="M39" s="61">
        <f t="shared" si="15"/>
        <v>-1</v>
      </c>
      <c r="N39" s="530"/>
      <c r="O39" s="213">
        <v>3016</v>
      </c>
      <c r="P39" s="213"/>
      <c r="Q39" s="65">
        <f t="shared" si="2"/>
        <v>-3016</v>
      </c>
      <c r="R39" s="61">
        <f t="shared" si="3"/>
        <v>-1</v>
      </c>
      <c r="S39" s="366"/>
      <c r="T39" s="181">
        <v>4021</v>
      </c>
      <c r="U39" s="18"/>
      <c r="V39" s="65">
        <f t="shared" si="12"/>
        <v>-4021</v>
      </c>
      <c r="W39" s="61">
        <f t="shared" si="13"/>
        <v>-1</v>
      </c>
      <c r="X39" s="366"/>
    </row>
    <row r="40" spans="1:37" ht="18" customHeight="1" x14ac:dyDescent="0.25">
      <c r="A40" s="224" t="s">
        <v>478</v>
      </c>
      <c r="B40" s="225" t="s">
        <v>479</v>
      </c>
      <c r="C40" s="586">
        <v>594</v>
      </c>
      <c r="D40" s="226">
        <v>624</v>
      </c>
      <c r="E40" s="213">
        <v>169</v>
      </c>
      <c r="F40" s="213"/>
      <c r="G40" s="356">
        <f t="shared" si="0"/>
        <v>-169</v>
      </c>
      <c r="H40" s="357">
        <f t="shared" si="1"/>
        <v>-1</v>
      </c>
      <c r="I40" s="366"/>
      <c r="J40" s="227">
        <v>342</v>
      </c>
      <c r="K40" s="213"/>
      <c r="L40" s="60">
        <f t="shared" si="14"/>
        <v>-342</v>
      </c>
      <c r="M40" s="61">
        <f t="shared" si="15"/>
        <v>-1</v>
      </c>
      <c r="N40" s="196"/>
      <c r="O40" s="227">
        <v>490</v>
      </c>
      <c r="P40" s="213"/>
      <c r="Q40" s="65">
        <f t="shared" si="2"/>
        <v>-490</v>
      </c>
      <c r="R40" s="61">
        <f t="shared" si="3"/>
        <v>-1</v>
      </c>
      <c r="S40" s="217"/>
      <c r="T40" s="226">
        <v>624</v>
      </c>
      <c r="U40" s="18"/>
      <c r="V40" s="65">
        <f t="shared" si="12"/>
        <v>-624</v>
      </c>
      <c r="W40" s="228">
        <f t="shared" si="13"/>
        <v>-1</v>
      </c>
      <c r="X40" s="196"/>
    </row>
    <row r="41" spans="1:37" ht="18" customHeight="1" x14ac:dyDescent="0.25">
      <c r="A41" s="280" t="s">
        <v>480</v>
      </c>
      <c r="B41" s="289" t="s">
        <v>481</v>
      </c>
      <c r="C41" s="565" t="s">
        <v>391</v>
      </c>
      <c r="D41" s="282" t="s">
        <v>391</v>
      </c>
      <c r="E41" s="282" t="s">
        <v>391</v>
      </c>
      <c r="F41" s="283" t="s">
        <v>391</v>
      </c>
      <c r="G41" s="283" t="s">
        <v>391</v>
      </c>
      <c r="H41" s="284" t="s">
        <v>391</v>
      </c>
      <c r="I41" s="284" t="s">
        <v>391</v>
      </c>
      <c r="J41" s="282" t="s">
        <v>391</v>
      </c>
      <c r="K41" s="283" t="s">
        <v>391</v>
      </c>
      <c r="L41" s="283" t="s">
        <v>391</v>
      </c>
      <c r="M41" s="284" t="s">
        <v>391</v>
      </c>
      <c r="N41" s="284" t="s">
        <v>391</v>
      </c>
      <c r="O41" s="282" t="s">
        <v>391</v>
      </c>
      <c r="P41" s="283" t="s">
        <v>391</v>
      </c>
      <c r="Q41" s="282" t="s">
        <v>391</v>
      </c>
      <c r="R41" s="283" t="s">
        <v>391</v>
      </c>
      <c r="S41" s="284" t="s">
        <v>391</v>
      </c>
      <c r="T41" s="282" t="s">
        <v>391</v>
      </c>
      <c r="U41" s="283" t="s">
        <v>391</v>
      </c>
      <c r="V41" s="283" t="s">
        <v>391</v>
      </c>
      <c r="W41" s="284" t="s">
        <v>391</v>
      </c>
      <c r="X41" s="284" t="s">
        <v>391</v>
      </c>
    </row>
    <row r="42" spans="1:37" ht="18" customHeight="1" x14ac:dyDescent="0.25">
      <c r="A42" s="193" t="s">
        <v>482</v>
      </c>
      <c r="B42" s="229" t="s">
        <v>483</v>
      </c>
      <c r="C42" s="567" t="s">
        <v>407</v>
      </c>
      <c r="D42" s="118"/>
      <c r="E42" s="64"/>
      <c r="F42" s="64"/>
      <c r="G42" s="65">
        <f t="shared" ref="G42:G46" si="16">F42-E42</f>
        <v>0</v>
      </c>
      <c r="H42" s="61" t="str">
        <f t="shared" ref="H42:H46" si="17">IFERROR(G42/ABS(E42), "-")</f>
        <v>-</v>
      </c>
      <c r="I42" s="196"/>
      <c r="J42" s="64"/>
      <c r="K42" s="64"/>
      <c r="L42" s="65">
        <f t="shared" ref="L42:L46" si="18">K42-J42</f>
        <v>0</v>
      </c>
      <c r="M42" s="61" t="str">
        <f t="shared" ref="M42:M46" si="19">IFERROR(L42/ABS(J42), "-")</f>
        <v>-</v>
      </c>
      <c r="N42" s="196"/>
      <c r="O42" s="64"/>
      <c r="P42" s="64"/>
      <c r="Q42" s="65">
        <f>P42-O42</f>
        <v>0</v>
      </c>
      <c r="R42" s="61" t="str">
        <f>IFERROR(Q42/ABS(O42), "-")</f>
        <v>-</v>
      </c>
      <c r="S42" s="196"/>
      <c r="T42" s="64"/>
      <c r="U42" s="64"/>
      <c r="V42" s="65">
        <f t="shared" ref="V42:V46" si="20">U42-T42</f>
        <v>0</v>
      </c>
      <c r="W42" s="61" t="str">
        <f t="shared" ref="W42:W46" si="21">IFERROR(V42/ABS(T42), "-")</f>
        <v>-</v>
      </c>
      <c r="X42" s="196"/>
    </row>
    <row r="43" spans="1:37" ht="18" customHeight="1" x14ac:dyDescent="0.25">
      <c r="A43" s="193" t="s">
        <v>484</v>
      </c>
      <c r="B43" s="229" t="s">
        <v>485</v>
      </c>
      <c r="C43" s="567" t="s">
        <v>407</v>
      </c>
      <c r="D43" s="118"/>
      <c r="E43" s="64"/>
      <c r="F43" s="64"/>
      <c r="G43" s="65">
        <f t="shared" si="16"/>
        <v>0</v>
      </c>
      <c r="H43" s="61" t="str">
        <f t="shared" si="17"/>
        <v>-</v>
      </c>
      <c r="I43" s="196"/>
      <c r="J43" s="64"/>
      <c r="K43" s="64"/>
      <c r="L43" s="65">
        <f t="shared" si="18"/>
        <v>0</v>
      </c>
      <c r="M43" s="61" t="str">
        <f t="shared" si="19"/>
        <v>-</v>
      </c>
      <c r="N43" s="196"/>
      <c r="O43" s="64"/>
      <c r="P43" s="64"/>
      <c r="Q43" s="65">
        <f t="shared" ref="Q43:Q46" si="22">P43-O43</f>
        <v>0</v>
      </c>
      <c r="R43" s="61" t="str">
        <f t="shared" ref="R43:R46" si="23">IFERROR(Q43/ABS(O43), "-")</f>
        <v>-</v>
      </c>
      <c r="S43" s="196"/>
      <c r="T43" s="64"/>
      <c r="U43" s="64"/>
      <c r="V43" s="65">
        <f t="shared" si="20"/>
        <v>0</v>
      </c>
      <c r="W43" s="61" t="str">
        <f t="shared" si="21"/>
        <v>-</v>
      </c>
      <c r="X43" s="196"/>
    </row>
    <row r="44" spans="1:37" ht="18" customHeight="1" x14ac:dyDescent="0.25">
      <c r="A44" s="193" t="s">
        <v>486</v>
      </c>
      <c r="B44" s="229" t="s">
        <v>487</v>
      </c>
      <c r="C44" s="567" t="s">
        <v>407</v>
      </c>
      <c r="D44" s="118"/>
      <c r="E44" s="64"/>
      <c r="F44" s="64"/>
      <c r="G44" s="65">
        <f t="shared" si="16"/>
        <v>0</v>
      </c>
      <c r="H44" s="61" t="str">
        <f t="shared" si="17"/>
        <v>-</v>
      </c>
      <c r="I44" s="196"/>
      <c r="J44" s="64"/>
      <c r="K44" s="64"/>
      <c r="L44" s="65">
        <f t="shared" si="18"/>
        <v>0</v>
      </c>
      <c r="M44" s="61" t="str">
        <f t="shared" si="19"/>
        <v>-</v>
      </c>
      <c r="N44" s="196"/>
      <c r="O44" s="64"/>
      <c r="P44" s="64"/>
      <c r="Q44" s="65">
        <f t="shared" si="22"/>
        <v>0</v>
      </c>
      <c r="R44" s="61" t="str">
        <f t="shared" si="23"/>
        <v>-</v>
      </c>
      <c r="S44" s="196"/>
      <c r="T44" s="64"/>
      <c r="U44" s="64"/>
      <c r="V44" s="65">
        <f t="shared" si="20"/>
        <v>0</v>
      </c>
      <c r="W44" s="61" t="str">
        <f t="shared" si="21"/>
        <v>-</v>
      </c>
      <c r="X44" s="196"/>
    </row>
    <row r="45" spans="1:37" ht="18" customHeight="1" x14ac:dyDescent="0.25">
      <c r="A45" s="193" t="s">
        <v>488</v>
      </c>
      <c r="B45" s="229" t="s">
        <v>489</v>
      </c>
      <c r="C45" s="567" t="s">
        <v>407</v>
      </c>
      <c r="D45" s="118"/>
      <c r="E45" s="64"/>
      <c r="F45" s="64"/>
      <c r="G45" s="65">
        <f t="shared" si="16"/>
        <v>0</v>
      </c>
      <c r="H45" s="61" t="str">
        <f t="shared" si="17"/>
        <v>-</v>
      </c>
      <c r="I45" s="196"/>
      <c r="J45" s="64"/>
      <c r="K45" s="64"/>
      <c r="L45" s="65">
        <f t="shared" si="18"/>
        <v>0</v>
      </c>
      <c r="M45" s="61" t="str">
        <f t="shared" si="19"/>
        <v>-</v>
      </c>
      <c r="N45" s="196"/>
      <c r="O45" s="64"/>
      <c r="P45" s="64"/>
      <c r="Q45" s="65">
        <f t="shared" si="22"/>
        <v>0</v>
      </c>
      <c r="R45" s="61" t="str">
        <f t="shared" si="23"/>
        <v>-</v>
      </c>
      <c r="S45" s="196"/>
      <c r="T45" s="64"/>
      <c r="U45" s="64"/>
      <c r="V45" s="65">
        <f t="shared" si="20"/>
        <v>0</v>
      </c>
      <c r="W45" s="61" t="str">
        <f t="shared" si="21"/>
        <v>-</v>
      </c>
      <c r="X45" s="196"/>
    </row>
    <row r="46" spans="1:37" ht="18" customHeight="1" x14ac:dyDescent="0.25">
      <c r="A46" s="193" t="s">
        <v>490</v>
      </c>
      <c r="B46" s="229" t="s">
        <v>491</v>
      </c>
      <c r="C46" s="567" t="s">
        <v>407</v>
      </c>
      <c r="D46" s="118"/>
      <c r="E46" s="64"/>
      <c r="F46" s="64"/>
      <c r="G46" s="65">
        <f t="shared" si="16"/>
        <v>0</v>
      </c>
      <c r="H46" s="61" t="str">
        <f t="shared" si="17"/>
        <v>-</v>
      </c>
      <c r="I46" s="196"/>
      <c r="J46" s="64"/>
      <c r="K46" s="64"/>
      <c r="L46" s="65">
        <f t="shared" si="18"/>
        <v>0</v>
      </c>
      <c r="M46" s="61" t="str">
        <f t="shared" si="19"/>
        <v>-</v>
      </c>
      <c r="N46" s="196"/>
      <c r="O46" s="64"/>
      <c r="P46" s="64"/>
      <c r="Q46" s="65">
        <f t="shared" si="22"/>
        <v>0</v>
      </c>
      <c r="R46" s="61" t="str">
        <f t="shared" si="23"/>
        <v>-</v>
      </c>
      <c r="S46" s="196"/>
      <c r="T46" s="64"/>
      <c r="U46" s="64"/>
      <c r="V46" s="65">
        <f t="shared" si="20"/>
        <v>0</v>
      </c>
      <c r="W46" s="61" t="str">
        <f t="shared" si="21"/>
        <v>-</v>
      </c>
      <c r="X46" s="196"/>
    </row>
    <row r="47" spans="1:37" ht="18" customHeight="1" x14ac:dyDescent="0.25">
      <c r="A47" s="280" t="s">
        <v>492</v>
      </c>
      <c r="B47" s="289" t="s">
        <v>493</v>
      </c>
      <c r="C47" s="565" t="s">
        <v>391</v>
      </c>
      <c r="D47" s="282" t="s">
        <v>391</v>
      </c>
      <c r="E47" s="282" t="s">
        <v>391</v>
      </c>
      <c r="F47" s="283" t="s">
        <v>391</v>
      </c>
      <c r="G47" s="283" t="s">
        <v>391</v>
      </c>
      <c r="H47" s="284" t="s">
        <v>391</v>
      </c>
      <c r="I47" s="284" t="s">
        <v>391</v>
      </c>
      <c r="J47" s="282" t="s">
        <v>391</v>
      </c>
      <c r="K47" s="283" t="s">
        <v>391</v>
      </c>
      <c r="L47" s="283" t="s">
        <v>391</v>
      </c>
      <c r="M47" s="284" t="s">
        <v>391</v>
      </c>
      <c r="N47" s="284" t="s">
        <v>391</v>
      </c>
      <c r="O47" s="282" t="s">
        <v>391</v>
      </c>
      <c r="P47" s="283" t="s">
        <v>391</v>
      </c>
      <c r="Q47" s="283" t="s">
        <v>391</v>
      </c>
      <c r="R47" s="284" t="s">
        <v>391</v>
      </c>
      <c r="S47" s="284" t="s">
        <v>391</v>
      </c>
      <c r="T47" s="282" t="s">
        <v>391</v>
      </c>
      <c r="U47" s="283" t="s">
        <v>391</v>
      </c>
      <c r="V47" s="283" t="s">
        <v>391</v>
      </c>
      <c r="W47" s="284" t="s">
        <v>391</v>
      </c>
      <c r="X47" s="284" t="s">
        <v>391</v>
      </c>
    </row>
    <row r="48" spans="1:37" ht="18" customHeight="1" x14ac:dyDescent="0.25">
      <c r="A48" s="193" t="s">
        <v>494</v>
      </c>
      <c r="B48" s="229" t="s">
        <v>483</v>
      </c>
      <c r="C48" s="567" t="s">
        <v>407</v>
      </c>
      <c r="D48" s="118"/>
      <c r="E48" s="64"/>
      <c r="F48" s="64"/>
      <c r="G48" s="65">
        <f t="shared" ref="G48:G52" si="24">F48-E48</f>
        <v>0</v>
      </c>
      <c r="H48" s="61" t="str">
        <f t="shared" ref="H48:H52" si="25">IFERROR(G48/ABS(E48), "-")</f>
        <v>-</v>
      </c>
      <c r="I48" s="196"/>
      <c r="J48" s="64"/>
      <c r="K48" s="64"/>
      <c r="L48" s="65">
        <f t="shared" ref="L48:L52" si="26">K48-J48</f>
        <v>0</v>
      </c>
      <c r="M48" s="61" t="str">
        <f t="shared" ref="M48:M52" si="27">IFERROR(L48/ABS(J48), "-")</f>
        <v>-</v>
      </c>
      <c r="N48" s="196"/>
      <c r="O48" s="64"/>
      <c r="P48" s="64"/>
      <c r="Q48" s="65">
        <f t="shared" ref="Q48:Q52" si="28">P48-O48</f>
        <v>0</v>
      </c>
      <c r="R48" s="61" t="str">
        <f t="shared" ref="R48:R52" si="29">IFERROR(Q48/ABS(O48), "-")</f>
        <v>-</v>
      </c>
      <c r="S48" s="196"/>
      <c r="T48" s="64"/>
      <c r="U48" s="64"/>
      <c r="V48" s="65">
        <f t="shared" ref="V48:V52" si="30">U48-T48</f>
        <v>0</v>
      </c>
      <c r="W48" s="61" t="str">
        <f t="shared" ref="W48:W52" si="31">IFERROR(V48/ABS(T48), "-")</f>
        <v>-</v>
      </c>
      <c r="X48" s="196"/>
    </row>
    <row r="49" spans="1:24" ht="18" customHeight="1" x14ac:dyDescent="0.25">
      <c r="A49" s="193" t="s">
        <v>495</v>
      </c>
      <c r="B49" s="229" t="s">
        <v>485</v>
      </c>
      <c r="C49" s="567" t="s">
        <v>407</v>
      </c>
      <c r="D49" s="118"/>
      <c r="E49" s="64"/>
      <c r="F49" s="64"/>
      <c r="G49" s="65">
        <f t="shared" si="24"/>
        <v>0</v>
      </c>
      <c r="H49" s="61" t="str">
        <f t="shared" si="25"/>
        <v>-</v>
      </c>
      <c r="I49" s="196"/>
      <c r="J49" s="64"/>
      <c r="K49" s="64"/>
      <c r="L49" s="65">
        <f t="shared" si="26"/>
        <v>0</v>
      </c>
      <c r="M49" s="61" t="str">
        <f t="shared" si="27"/>
        <v>-</v>
      </c>
      <c r="N49" s="196"/>
      <c r="O49" s="64"/>
      <c r="P49" s="64"/>
      <c r="Q49" s="65">
        <f t="shared" si="28"/>
        <v>0</v>
      </c>
      <c r="R49" s="61" t="str">
        <f t="shared" si="29"/>
        <v>-</v>
      </c>
      <c r="S49" s="196"/>
      <c r="T49" s="64"/>
      <c r="U49" s="64"/>
      <c r="V49" s="65">
        <f t="shared" si="30"/>
        <v>0</v>
      </c>
      <c r="W49" s="61" t="str">
        <f t="shared" si="31"/>
        <v>-</v>
      </c>
      <c r="X49" s="196"/>
    </row>
    <row r="50" spans="1:24" ht="18" customHeight="1" x14ac:dyDescent="0.25">
      <c r="A50" s="193" t="s">
        <v>496</v>
      </c>
      <c r="B50" s="229" t="s">
        <v>487</v>
      </c>
      <c r="C50" s="567" t="s">
        <v>407</v>
      </c>
      <c r="D50" s="118"/>
      <c r="E50" s="64"/>
      <c r="F50" s="64"/>
      <c r="G50" s="65">
        <f t="shared" si="24"/>
        <v>0</v>
      </c>
      <c r="H50" s="61" t="str">
        <f t="shared" si="25"/>
        <v>-</v>
      </c>
      <c r="I50" s="196"/>
      <c r="J50" s="64"/>
      <c r="K50" s="64"/>
      <c r="L50" s="65">
        <f t="shared" si="26"/>
        <v>0</v>
      </c>
      <c r="M50" s="61" t="str">
        <f t="shared" si="27"/>
        <v>-</v>
      </c>
      <c r="N50" s="196"/>
      <c r="O50" s="64"/>
      <c r="P50" s="64"/>
      <c r="Q50" s="65">
        <f t="shared" si="28"/>
        <v>0</v>
      </c>
      <c r="R50" s="61" t="str">
        <f t="shared" si="29"/>
        <v>-</v>
      </c>
      <c r="S50" s="196"/>
      <c r="T50" s="64"/>
      <c r="U50" s="64"/>
      <c r="V50" s="65">
        <f t="shared" si="30"/>
        <v>0</v>
      </c>
      <c r="W50" s="61" t="str">
        <f t="shared" si="31"/>
        <v>-</v>
      </c>
      <c r="X50" s="196"/>
    </row>
    <row r="51" spans="1:24" ht="18" customHeight="1" x14ac:dyDescent="0.25">
      <c r="A51" s="193" t="s">
        <v>497</v>
      </c>
      <c r="B51" s="229" t="s">
        <v>489</v>
      </c>
      <c r="C51" s="567" t="s">
        <v>407</v>
      </c>
      <c r="D51" s="118"/>
      <c r="E51" s="64"/>
      <c r="F51" s="64"/>
      <c r="G51" s="65">
        <f t="shared" si="24"/>
        <v>0</v>
      </c>
      <c r="H51" s="61" t="str">
        <f t="shared" si="25"/>
        <v>-</v>
      </c>
      <c r="I51" s="196"/>
      <c r="J51" s="64"/>
      <c r="K51" s="64"/>
      <c r="L51" s="65">
        <f t="shared" si="26"/>
        <v>0</v>
      </c>
      <c r="M51" s="61" t="str">
        <f t="shared" si="27"/>
        <v>-</v>
      </c>
      <c r="N51" s="196"/>
      <c r="O51" s="64"/>
      <c r="P51" s="64"/>
      <c r="Q51" s="65">
        <f t="shared" si="28"/>
        <v>0</v>
      </c>
      <c r="R51" s="61" t="str">
        <f t="shared" si="29"/>
        <v>-</v>
      </c>
      <c r="S51" s="196"/>
      <c r="T51" s="64"/>
      <c r="U51" s="64"/>
      <c r="V51" s="65">
        <f t="shared" si="30"/>
        <v>0</v>
      </c>
      <c r="W51" s="61" t="str">
        <f t="shared" si="31"/>
        <v>-</v>
      </c>
      <c r="X51" s="196"/>
    </row>
    <row r="52" spans="1:24" ht="18" customHeight="1" x14ac:dyDescent="0.25">
      <c r="A52" s="193" t="s">
        <v>498</v>
      </c>
      <c r="B52" s="229" t="s">
        <v>491</v>
      </c>
      <c r="C52" s="567" t="s">
        <v>407</v>
      </c>
      <c r="D52" s="118"/>
      <c r="E52" s="64"/>
      <c r="F52" s="64"/>
      <c r="G52" s="65">
        <f t="shared" si="24"/>
        <v>0</v>
      </c>
      <c r="H52" s="61" t="str">
        <f t="shared" si="25"/>
        <v>-</v>
      </c>
      <c r="I52" s="196"/>
      <c r="J52" s="64"/>
      <c r="K52" s="64"/>
      <c r="L52" s="65">
        <f t="shared" si="26"/>
        <v>0</v>
      </c>
      <c r="M52" s="61" t="str">
        <f t="shared" si="27"/>
        <v>-</v>
      </c>
      <c r="N52" s="196"/>
      <c r="O52" s="64"/>
      <c r="P52" s="64"/>
      <c r="Q52" s="65">
        <f t="shared" si="28"/>
        <v>0</v>
      </c>
      <c r="R52" s="61" t="str">
        <f t="shared" si="29"/>
        <v>-</v>
      </c>
      <c r="S52" s="196"/>
      <c r="T52" s="64"/>
      <c r="U52" s="64"/>
      <c r="V52" s="65">
        <f t="shared" si="30"/>
        <v>0</v>
      </c>
      <c r="W52" s="61" t="str">
        <f t="shared" si="31"/>
        <v>-</v>
      </c>
      <c r="X52" s="196"/>
    </row>
    <row r="53" spans="1:24" ht="18" customHeight="1" x14ac:dyDescent="0.25">
      <c r="A53" s="280" t="s">
        <v>499</v>
      </c>
      <c r="B53" s="290" t="s">
        <v>500</v>
      </c>
      <c r="C53" s="565" t="s">
        <v>391</v>
      </c>
      <c r="D53" s="282" t="s">
        <v>391</v>
      </c>
      <c r="E53" s="282" t="s">
        <v>391</v>
      </c>
      <c r="F53" s="283" t="s">
        <v>391</v>
      </c>
      <c r="G53" s="283" t="s">
        <v>391</v>
      </c>
      <c r="H53" s="284" t="s">
        <v>391</v>
      </c>
      <c r="I53" s="284" t="s">
        <v>391</v>
      </c>
      <c r="J53" s="282" t="s">
        <v>391</v>
      </c>
      <c r="K53" s="283" t="s">
        <v>391</v>
      </c>
      <c r="L53" s="283" t="s">
        <v>391</v>
      </c>
      <c r="M53" s="284" t="s">
        <v>391</v>
      </c>
      <c r="N53" s="284" t="s">
        <v>391</v>
      </c>
      <c r="O53" s="282" t="s">
        <v>391</v>
      </c>
      <c r="P53" s="283" t="s">
        <v>391</v>
      </c>
      <c r="Q53" s="283" t="s">
        <v>391</v>
      </c>
      <c r="R53" s="284" t="s">
        <v>391</v>
      </c>
      <c r="S53" s="284" t="s">
        <v>391</v>
      </c>
      <c r="T53" s="282" t="s">
        <v>391</v>
      </c>
      <c r="U53" s="283" t="s">
        <v>391</v>
      </c>
      <c r="V53" s="283" t="s">
        <v>391</v>
      </c>
      <c r="W53" s="284" t="s">
        <v>391</v>
      </c>
      <c r="X53" s="284" t="s">
        <v>391</v>
      </c>
    </row>
    <row r="54" spans="1:24" ht="18" customHeight="1" x14ac:dyDescent="0.25">
      <c r="A54" s="222" t="s">
        <v>501</v>
      </c>
      <c r="B54" s="103" t="s">
        <v>502</v>
      </c>
      <c r="C54" s="576">
        <v>634</v>
      </c>
      <c r="D54" s="93">
        <v>637</v>
      </c>
      <c r="E54" s="576">
        <v>634</v>
      </c>
      <c r="F54" s="93"/>
      <c r="G54" s="577">
        <f t="shared" ref="G54:G77" si="32">F54-E54</f>
        <v>-634</v>
      </c>
      <c r="H54" s="578">
        <f>IFERROR(G54/ABS(E54), "-")</f>
        <v>-1</v>
      </c>
      <c r="I54" s="579"/>
      <c r="J54" s="576">
        <v>636</v>
      </c>
      <c r="K54" s="93"/>
      <c r="L54" s="577">
        <f t="shared" ref="L54:L58" si="33">K54-J54</f>
        <v>-636</v>
      </c>
      <c r="M54" s="578">
        <f t="shared" ref="M54:M77" si="34">IFERROR(L54/ABS(J54), "-")</f>
        <v>-1</v>
      </c>
      <c r="N54" s="579"/>
      <c r="O54" s="93">
        <v>637</v>
      </c>
      <c r="P54" s="93"/>
      <c r="Q54" s="577">
        <f t="shared" ref="Q54:Q59" si="35">P54-O54</f>
        <v>-637</v>
      </c>
      <c r="R54" s="578">
        <f t="shared" ref="R54:R77" si="36">IFERROR(Q54/ABS(O54), "-")</f>
        <v>-1</v>
      </c>
      <c r="S54" s="579"/>
      <c r="T54" s="93">
        <v>637</v>
      </c>
      <c r="U54" s="93"/>
      <c r="V54" s="96">
        <f t="shared" ref="V54:V77" si="37">U54-T54</f>
        <v>-637</v>
      </c>
      <c r="W54" s="97">
        <f t="shared" ref="W54:W77" si="38">IFERROR(V54/ABS(T54), "-")</f>
        <v>-1</v>
      </c>
      <c r="X54" s="230"/>
    </row>
    <row r="55" spans="1:24" ht="18" customHeight="1" x14ac:dyDescent="0.25">
      <c r="A55" s="210" t="s">
        <v>503</v>
      </c>
      <c r="B55" s="231" t="s">
        <v>504</v>
      </c>
      <c r="C55" s="580">
        <v>138</v>
      </c>
      <c r="D55" s="580">
        <v>139</v>
      </c>
      <c r="E55" s="580">
        <v>138</v>
      </c>
      <c r="F55" s="213"/>
      <c r="G55" s="581">
        <f t="shared" si="32"/>
        <v>-138</v>
      </c>
      <c r="H55" s="582">
        <f t="shared" ref="H55:H77" si="39">IFERROR(G55/ABS(E55), "-")</f>
        <v>-1</v>
      </c>
      <c r="I55" s="583"/>
      <c r="J55" s="580">
        <v>139</v>
      </c>
      <c r="K55" s="213"/>
      <c r="L55" s="581">
        <f t="shared" si="33"/>
        <v>-139</v>
      </c>
      <c r="M55" s="582">
        <f t="shared" si="34"/>
        <v>-1</v>
      </c>
      <c r="N55" s="583"/>
      <c r="O55" s="580">
        <v>139</v>
      </c>
      <c r="P55" s="213"/>
      <c r="Q55" s="581">
        <f t="shared" si="35"/>
        <v>-139</v>
      </c>
      <c r="R55" s="582">
        <f>IFERROR(Q55/ABS(O55), "-")</f>
        <v>-1</v>
      </c>
      <c r="S55" s="583"/>
      <c r="T55" s="580">
        <v>139</v>
      </c>
      <c r="U55" s="213"/>
      <c r="V55" s="214">
        <f t="shared" si="37"/>
        <v>-139</v>
      </c>
      <c r="W55" s="61">
        <f t="shared" si="38"/>
        <v>-1</v>
      </c>
      <c r="X55" s="196"/>
    </row>
    <row r="56" spans="1:24" x14ac:dyDescent="0.25">
      <c r="A56" s="210" t="s">
        <v>505</v>
      </c>
      <c r="B56" s="231" t="s">
        <v>506</v>
      </c>
      <c r="C56" s="580">
        <v>191</v>
      </c>
      <c r="D56" s="580">
        <v>191</v>
      </c>
      <c r="E56" s="580">
        <v>191</v>
      </c>
      <c r="F56" s="64"/>
      <c r="G56" s="584">
        <f t="shared" si="32"/>
        <v>-191</v>
      </c>
      <c r="H56" s="582">
        <f t="shared" si="39"/>
        <v>-1</v>
      </c>
      <c r="I56" s="583"/>
      <c r="J56" s="580">
        <v>191</v>
      </c>
      <c r="K56" s="64"/>
      <c r="L56" s="584">
        <f t="shared" si="33"/>
        <v>-191</v>
      </c>
      <c r="M56" s="582">
        <f t="shared" si="34"/>
        <v>-1</v>
      </c>
      <c r="N56" s="583"/>
      <c r="O56" s="580">
        <v>191</v>
      </c>
      <c r="P56" s="64"/>
      <c r="Q56" s="584">
        <f t="shared" si="35"/>
        <v>-191</v>
      </c>
      <c r="R56" s="582">
        <f t="shared" si="36"/>
        <v>-1</v>
      </c>
      <c r="S56" s="583"/>
      <c r="T56" s="580">
        <v>191</v>
      </c>
      <c r="U56" s="64"/>
      <c r="V56" s="65">
        <f t="shared" si="37"/>
        <v>-191</v>
      </c>
      <c r="W56" s="61">
        <f t="shared" si="38"/>
        <v>-1</v>
      </c>
      <c r="X56" s="196"/>
    </row>
    <row r="57" spans="1:24" x14ac:dyDescent="0.25">
      <c r="A57" s="210" t="s">
        <v>507</v>
      </c>
      <c r="B57" s="50" t="s">
        <v>508</v>
      </c>
      <c r="C57" s="580">
        <v>45</v>
      </c>
      <c r="D57" s="580">
        <v>46</v>
      </c>
      <c r="E57" s="580">
        <v>45</v>
      </c>
      <c r="F57" s="64"/>
      <c r="G57" s="584">
        <f t="shared" si="32"/>
        <v>-45</v>
      </c>
      <c r="H57" s="582">
        <f t="shared" si="39"/>
        <v>-1</v>
      </c>
      <c r="I57" s="583"/>
      <c r="J57" s="580">
        <v>45</v>
      </c>
      <c r="K57" s="64"/>
      <c r="L57" s="584">
        <f t="shared" si="33"/>
        <v>-45</v>
      </c>
      <c r="M57" s="582">
        <f t="shared" si="34"/>
        <v>-1</v>
      </c>
      <c r="N57" s="583"/>
      <c r="O57" s="580">
        <v>46</v>
      </c>
      <c r="P57" s="64"/>
      <c r="Q57" s="584">
        <f t="shared" si="35"/>
        <v>-46</v>
      </c>
      <c r="R57" s="582">
        <f t="shared" si="36"/>
        <v>-1</v>
      </c>
      <c r="S57" s="583"/>
      <c r="T57" s="580">
        <v>46</v>
      </c>
      <c r="U57" s="64"/>
      <c r="V57" s="65">
        <f t="shared" si="37"/>
        <v>-46</v>
      </c>
      <c r="W57" s="61">
        <f t="shared" si="38"/>
        <v>-1</v>
      </c>
      <c r="X57" s="196"/>
    </row>
    <row r="58" spans="1:24" ht="18" customHeight="1" x14ac:dyDescent="0.25">
      <c r="A58" s="210" t="s">
        <v>509</v>
      </c>
      <c r="B58" s="50" t="s">
        <v>510</v>
      </c>
      <c r="C58" s="580">
        <v>40</v>
      </c>
      <c r="D58" s="580">
        <v>40</v>
      </c>
      <c r="E58" s="580">
        <v>40</v>
      </c>
      <c r="F58" s="64"/>
      <c r="G58" s="584">
        <f t="shared" si="32"/>
        <v>-40</v>
      </c>
      <c r="H58" s="582">
        <f t="shared" si="39"/>
        <v>-1</v>
      </c>
      <c r="I58" s="583"/>
      <c r="J58" s="580">
        <v>40</v>
      </c>
      <c r="K58" s="64"/>
      <c r="L58" s="584">
        <f t="shared" si="33"/>
        <v>-40</v>
      </c>
      <c r="M58" s="582">
        <f t="shared" si="34"/>
        <v>-1</v>
      </c>
      <c r="N58" s="583"/>
      <c r="O58" s="580">
        <v>40</v>
      </c>
      <c r="P58" s="64"/>
      <c r="Q58" s="584">
        <f t="shared" si="35"/>
        <v>-40</v>
      </c>
      <c r="R58" s="582">
        <f t="shared" si="36"/>
        <v>-1</v>
      </c>
      <c r="S58" s="583"/>
      <c r="T58" s="580">
        <v>40</v>
      </c>
      <c r="U58" s="64"/>
      <c r="V58" s="65">
        <f t="shared" si="37"/>
        <v>-40</v>
      </c>
      <c r="W58" s="61">
        <f t="shared" si="38"/>
        <v>-1</v>
      </c>
      <c r="X58" s="196"/>
    </row>
    <row r="59" spans="1:24" ht="18" customHeight="1" x14ac:dyDescent="0.25">
      <c r="A59" s="210" t="s">
        <v>511</v>
      </c>
      <c r="B59" s="50" t="s">
        <v>512</v>
      </c>
      <c r="C59" s="580">
        <v>220</v>
      </c>
      <c r="D59" s="580">
        <v>221</v>
      </c>
      <c r="E59" s="580">
        <v>220</v>
      </c>
      <c r="F59" s="64"/>
      <c r="G59" s="584">
        <f>F59-E59</f>
        <v>-220</v>
      </c>
      <c r="H59" s="582">
        <f t="shared" si="39"/>
        <v>-1</v>
      </c>
      <c r="I59" s="583"/>
      <c r="J59" s="580">
        <v>221</v>
      </c>
      <c r="K59" s="64"/>
      <c r="L59" s="584">
        <f>K59-J59</f>
        <v>-221</v>
      </c>
      <c r="M59" s="582">
        <f t="shared" si="34"/>
        <v>-1</v>
      </c>
      <c r="N59" s="583"/>
      <c r="O59" s="580">
        <v>221</v>
      </c>
      <c r="P59" s="64"/>
      <c r="Q59" s="584">
        <f t="shared" si="35"/>
        <v>-221</v>
      </c>
      <c r="R59" s="582">
        <f t="shared" si="36"/>
        <v>-1</v>
      </c>
      <c r="S59" s="583"/>
      <c r="T59" s="580">
        <v>221</v>
      </c>
      <c r="U59" s="64"/>
      <c r="V59" s="65">
        <f t="shared" si="37"/>
        <v>-221</v>
      </c>
      <c r="W59" s="61">
        <f t="shared" si="38"/>
        <v>-1</v>
      </c>
      <c r="X59" s="196"/>
    </row>
    <row r="60" spans="1:24" ht="18" customHeight="1" x14ac:dyDescent="0.25">
      <c r="A60" s="222" t="s">
        <v>513</v>
      </c>
      <c r="B60" s="232" t="s">
        <v>514</v>
      </c>
      <c r="C60" s="576" t="s">
        <v>515</v>
      </c>
      <c r="D60" s="585">
        <v>1983</v>
      </c>
      <c r="E60" s="585">
        <v>1983</v>
      </c>
      <c r="F60" s="93"/>
      <c r="G60" s="577">
        <f>F60-E60</f>
        <v>-1983</v>
      </c>
      <c r="H60" s="578">
        <f t="shared" si="39"/>
        <v>-1</v>
      </c>
      <c r="I60" s="579"/>
      <c r="J60" s="585">
        <v>1983</v>
      </c>
      <c r="K60" s="93"/>
      <c r="L60" s="577">
        <f>K60-J60</f>
        <v>-1983</v>
      </c>
      <c r="M60" s="578">
        <f t="shared" si="34"/>
        <v>-1</v>
      </c>
      <c r="N60" s="579"/>
      <c r="O60" s="585">
        <v>1983</v>
      </c>
      <c r="P60" s="93"/>
      <c r="Q60" s="577">
        <f>P60-O60</f>
        <v>-1983</v>
      </c>
      <c r="R60" s="578">
        <f t="shared" si="36"/>
        <v>-1</v>
      </c>
      <c r="S60" s="579"/>
      <c r="T60" s="585">
        <v>1983</v>
      </c>
      <c r="U60" s="93"/>
      <c r="V60" s="421">
        <f t="shared" si="37"/>
        <v>-1983</v>
      </c>
      <c r="W60" s="97">
        <f t="shared" si="38"/>
        <v>-1</v>
      </c>
      <c r="X60" s="230"/>
    </row>
    <row r="61" spans="1:24" ht="18" customHeight="1" x14ac:dyDescent="0.25">
      <c r="A61" s="210" t="s">
        <v>516</v>
      </c>
      <c r="B61" s="231" t="s">
        <v>504</v>
      </c>
      <c r="C61" s="586" t="s">
        <v>517</v>
      </c>
      <c r="D61" s="580">
        <v>2999</v>
      </c>
      <c r="E61" s="580">
        <v>2999</v>
      </c>
      <c r="F61" s="213"/>
      <c r="G61" s="584">
        <f t="shared" si="32"/>
        <v>-2999</v>
      </c>
      <c r="H61" s="582">
        <f t="shared" si="39"/>
        <v>-1</v>
      </c>
      <c r="I61" s="583"/>
      <c r="J61" s="580">
        <v>2999</v>
      </c>
      <c r="K61" s="213"/>
      <c r="L61" s="584">
        <f t="shared" ref="L61:L77" si="40">K61-J61</f>
        <v>-2999</v>
      </c>
      <c r="M61" s="582">
        <f t="shared" si="34"/>
        <v>-1</v>
      </c>
      <c r="N61" s="583"/>
      <c r="O61" s="580">
        <v>2999</v>
      </c>
      <c r="P61" s="213"/>
      <c r="Q61" s="584">
        <f t="shared" ref="Q61:Q77" si="41">P61-O61</f>
        <v>-2999</v>
      </c>
      <c r="R61" s="582">
        <f t="shared" si="36"/>
        <v>-1</v>
      </c>
      <c r="S61" s="583"/>
      <c r="T61" s="580">
        <v>2999</v>
      </c>
      <c r="U61" s="213"/>
      <c r="V61" s="65">
        <f t="shared" si="37"/>
        <v>-2999</v>
      </c>
      <c r="W61" s="61">
        <f t="shared" si="38"/>
        <v>-1</v>
      </c>
      <c r="X61" s="196"/>
    </row>
    <row r="62" spans="1:24" ht="18" customHeight="1" x14ac:dyDescent="0.25">
      <c r="A62" s="210" t="s">
        <v>518</v>
      </c>
      <c r="B62" s="231" t="s">
        <v>506</v>
      </c>
      <c r="C62" s="586" t="s">
        <v>519</v>
      </c>
      <c r="D62" s="580">
        <v>2224</v>
      </c>
      <c r="E62" s="580">
        <v>2224</v>
      </c>
      <c r="F62" s="213"/>
      <c r="G62" s="584">
        <f t="shared" si="32"/>
        <v>-2224</v>
      </c>
      <c r="H62" s="582">
        <f t="shared" si="39"/>
        <v>-1</v>
      </c>
      <c r="I62" s="583"/>
      <c r="J62" s="580">
        <v>2224</v>
      </c>
      <c r="K62" s="213"/>
      <c r="L62" s="584">
        <f t="shared" si="40"/>
        <v>-2224</v>
      </c>
      <c r="M62" s="582">
        <f t="shared" si="34"/>
        <v>-1</v>
      </c>
      <c r="N62" s="583"/>
      <c r="O62" s="580">
        <v>2224</v>
      </c>
      <c r="P62" s="213"/>
      <c r="Q62" s="584">
        <f t="shared" si="41"/>
        <v>-2224</v>
      </c>
      <c r="R62" s="582">
        <f t="shared" si="36"/>
        <v>-1</v>
      </c>
      <c r="S62" s="583"/>
      <c r="T62" s="580">
        <v>2224</v>
      </c>
      <c r="U62" s="213"/>
      <c r="V62" s="65">
        <f t="shared" si="37"/>
        <v>-2224</v>
      </c>
      <c r="W62" s="61">
        <f t="shared" si="38"/>
        <v>-1</v>
      </c>
      <c r="X62" s="196"/>
    </row>
    <row r="63" spans="1:24" ht="18" customHeight="1" x14ac:dyDescent="0.25">
      <c r="A63" s="210" t="s">
        <v>520</v>
      </c>
      <c r="B63" s="50" t="s">
        <v>508</v>
      </c>
      <c r="C63" s="586" t="s">
        <v>521</v>
      </c>
      <c r="D63" s="580">
        <v>1259</v>
      </c>
      <c r="E63" s="580">
        <v>1259</v>
      </c>
      <c r="F63" s="213"/>
      <c r="G63" s="584">
        <f t="shared" si="32"/>
        <v>-1259</v>
      </c>
      <c r="H63" s="582">
        <f t="shared" si="39"/>
        <v>-1</v>
      </c>
      <c r="I63" s="583"/>
      <c r="J63" s="580">
        <v>1259</v>
      </c>
      <c r="K63" s="213"/>
      <c r="L63" s="584">
        <f t="shared" si="40"/>
        <v>-1259</v>
      </c>
      <c r="M63" s="582">
        <f t="shared" si="34"/>
        <v>-1</v>
      </c>
      <c r="N63" s="583"/>
      <c r="O63" s="580">
        <v>1259</v>
      </c>
      <c r="P63" s="213"/>
      <c r="Q63" s="584">
        <f t="shared" si="41"/>
        <v>-1259</v>
      </c>
      <c r="R63" s="582">
        <f t="shared" si="36"/>
        <v>-1</v>
      </c>
      <c r="S63" s="583"/>
      <c r="T63" s="580">
        <v>1259</v>
      </c>
      <c r="U63" s="213"/>
      <c r="V63" s="65">
        <f t="shared" si="37"/>
        <v>-1259</v>
      </c>
      <c r="W63" s="61">
        <f t="shared" si="38"/>
        <v>-1</v>
      </c>
      <c r="X63" s="196"/>
    </row>
    <row r="64" spans="1:24" ht="18" customHeight="1" x14ac:dyDescent="0.25">
      <c r="A64" s="210" t="s">
        <v>522</v>
      </c>
      <c r="B64" s="50" t="s">
        <v>510</v>
      </c>
      <c r="C64" s="586" t="s">
        <v>523</v>
      </c>
      <c r="D64" s="580">
        <v>2481</v>
      </c>
      <c r="E64" s="580">
        <v>2481</v>
      </c>
      <c r="F64" s="213"/>
      <c r="G64" s="584">
        <f t="shared" si="32"/>
        <v>-2481</v>
      </c>
      <c r="H64" s="582">
        <f t="shared" si="39"/>
        <v>-1</v>
      </c>
      <c r="I64" s="583"/>
      <c r="J64" s="580">
        <v>2481</v>
      </c>
      <c r="K64" s="213"/>
      <c r="L64" s="584">
        <f t="shared" si="40"/>
        <v>-2481</v>
      </c>
      <c r="M64" s="582">
        <f t="shared" si="34"/>
        <v>-1</v>
      </c>
      <c r="N64" s="583"/>
      <c r="O64" s="580">
        <v>2481</v>
      </c>
      <c r="P64" s="213"/>
      <c r="Q64" s="584">
        <f t="shared" si="41"/>
        <v>-2481</v>
      </c>
      <c r="R64" s="582">
        <f t="shared" si="36"/>
        <v>-1</v>
      </c>
      <c r="S64" s="583"/>
      <c r="T64" s="580">
        <v>2481</v>
      </c>
      <c r="U64" s="213"/>
      <c r="V64" s="65">
        <f t="shared" si="37"/>
        <v>-2481</v>
      </c>
      <c r="W64" s="61">
        <f t="shared" si="38"/>
        <v>-1</v>
      </c>
      <c r="X64" s="196"/>
    </row>
    <row r="65" spans="1:24" ht="18" customHeight="1" x14ac:dyDescent="0.25">
      <c r="A65" s="210" t="s">
        <v>524</v>
      </c>
      <c r="B65" s="50" t="s">
        <v>512</v>
      </c>
      <c r="C65" s="586" t="s">
        <v>525</v>
      </c>
      <c r="D65" s="580">
        <v>1125</v>
      </c>
      <c r="E65" s="580">
        <v>1125</v>
      </c>
      <c r="F65" s="213"/>
      <c r="G65" s="584">
        <f t="shared" si="32"/>
        <v>-1125</v>
      </c>
      <c r="H65" s="582">
        <f t="shared" si="39"/>
        <v>-1</v>
      </c>
      <c r="I65" s="583"/>
      <c r="J65" s="580">
        <v>1125</v>
      </c>
      <c r="K65" s="213"/>
      <c r="L65" s="584">
        <f t="shared" si="40"/>
        <v>-1125</v>
      </c>
      <c r="M65" s="582">
        <f t="shared" si="34"/>
        <v>-1</v>
      </c>
      <c r="N65" s="583"/>
      <c r="O65" s="580">
        <v>1125</v>
      </c>
      <c r="P65" s="213"/>
      <c r="Q65" s="584">
        <f t="shared" si="41"/>
        <v>-1125</v>
      </c>
      <c r="R65" s="582">
        <f t="shared" si="36"/>
        <v>-1</v>
      </c>
      <c r="S65" s="583"/>
      <c r="T65" s="580">
        <v>1125</v>
      </c>
      <c r="U65" s="213"/>
      <c r="V65" s="65">
        <f t="shared" si="37"/>
        <v>-1125</v>
      </c>
      <c r="W65" s="61">
        <f t="shared" si="38"/>
        <v>-1</v>
      </c>
      <c r="X65" s="196"/>
    </row>
    <row r="66" spans="1:24" ht="18" customHeight="1" x14ac:dyDescent="0.25">
      <c r="A66" s="222" t="s">
        <v>526</v>
      </c>
      <c r="B66" s="103" t="s">
        <v>527</v>
      </c>
      <c r="C66" s="576">
        <v>642</v>
      </c>
      <c r="D66" s="576">
        <v>649</v>
      </c>
      <c r="E66" s="576">
        <v>646</v>
      </c>
      <c r="F66" s="93"/>
      <c r="G66" s="577">
        <f t="shared" si="32"/>
        <v>-646</v>
      </c>
      <c r="H66" s="578">
        <f t="shared" si="39"/>
        <v>-1</v>
      </c>
      <c r="I66" s="579"/>
      <c r="J66" s="576">
        <v>648</v>
      </c>
      <c r="K66" s="93"/>
      <c r="L66" s="577">
        <f t="shared" si="40"/>
        <v>-648</v>
      </c>
      <c r="M66" s="578">
        <f t="shared" si="34"/>
        <v>-1</v>
      </c>
      <c r="N66" s="579"/>
      <c r="O66" s="576">
        <v>649</v>
      </c>
      <c r="P66" s="93"/>
      <c r="Q66" s="577">
        <f t="shared" si="41"/>
        <v>-649</v>
      </c>
      <c r="R66" s="578">
        <f t="shared" si="36"/>
        <v>-1</v>
      </c>
      <c r="S66" s="579"/>
      <c r="T66" s="576">
        <v>650</v>
      </c>
      <c r="U66" s="93"/>
      <c r="V66" s="96">
        <f t="shared" si="37"/>
        <v>-650</v>
      </c>
      <c r="W66" s="97">
        <f t="shared" si="38"/>
        <v>-1</v>
      </c>
      <c r="X66" s="230"/>
    </row>
    <row r="67" spans="1:24" ht="18" customHeight="1" x14ac:dyDescent="0.25">
      <c r="A67" s="210" t="s">
        <v>528</v>
      </c>
      <c r="B67" s="231" t="s">
        <v>504</v>
      </c>
      <c r="C67" s="586">
        <v>138</v>
      </c>
      <c r="D67" s="586">
        <v>140</v>
      </c>
      <c r="E67" s="586">
        <v>139</v>
      </c>
      <c r="F67" s="456"/>
      <c r="G67" s="581">
        <f t="shared" si="32"/>
        <v>-139</v>
      </c>
      <c r="H67" s="582">
        <f t="shared" si="39"/>
        <v>-1</v>
      </c>
      <c r="I67" s="583"/>
      <c r="J67" s="586">
        <v>139</v>
      </c>
      <c r="K67" s="213"/>
      <c r="L67" s="581">
        <f t="shared" si="40"/>
        <v>-139</v>
      </c>
      <c r="M67" s="582">
        <f t="shared" si="34"/>
        <v>-1</v>
      </c>
      <c r="N67" s="583"/>
      <c r="O67" s="586">
        <v>140</v>
      </c>
      <c r="P67" s="213"/>
      <c r="Q67" s="581">
        <f t="shared" si="41"/>
        <v>-140</v>
      </c>
      <c r="R67" s="582">
        <f t="shared" si="36"/>
        <v>-1</v>
      </c>
      <c r="S67" s="583"/>
      <c r="T67" s="586">
        <v>140</v>
      </c>
      <c r="U67" s="213"/>
      <c r="V67" s="214">
        <f t="shared" si="37"/>
        <v>-140</v>
      </c>
      <c r="W67" s="61">
        <f t="shared" si="38"/>
        <v>-1</v>
      </c>
      <c r="X67" s="196"/>
    </row>
    <row r="68" spans="1:24" ht="18" customHeight="1" x14ac:dyDescent="0.25">
      <c r="A68" s="210" t="s">
        <v>529</v>
      </c>
      <c r="B68" s="231" t="s">
        <v>506</v>
      </c>
      <c r="C68" s="580">
        <v>191</v>
      </c>
      <c r="D68" s="580">
        <v>193</v>
      </c>
      <c r="E68" s="580">
        <v>191</v>
      </c>
      <c r="F68" s="457"/>
      <c r="G68" s="584">
        <f t="shared" si="32"/>
        <v>-191</v>
      </c>
      <c r="H68" s="582">
        <f t="shared" si="39"/>
        <v>-1</v>
      </c>
      <c r="I68" s="583"/>
      <c r="J68" s="580">
        <v>193</v>
      </c>
      <c r="K68" s="64"/>
      <c r="L68" s="584">
        <f t="shared" si="40"/>
        <v>-193</v>
      </c>
      <c r="M68" s="582">
        <f t="shared" si="34"/>
        <v>-1</v>
      </c>
      <c r="N68" s="583"/>
      <c r="O68" s="580">
        <v>193</v>
      </c>
      <c r="P68" s="64"/>
      <c r="Q68" s="584">
        <f t="shared" si="41"/>
        <v>-193</v>
      </c>
      <c r="R68" s="582">
        <f t="shared" si="36"/>
        <v>-1</v>
      </c>
      <c r="S68" s="583"/>
      <c r="T68" s="580">
        <v>193</v>
      </c>
      <c r="U68" s="64"/>
      <c r="V68" s="65">
        <f t="shared" si="37"/>
        <v>-193</v>
      </c>
      <c r="W68" s="61">
        <f t="shared" si="38"/>
        <v>-1</v>
      </c>
      <c r="X68" s="196"/>
    </row>
    <row r="69" spans="1:24" ht="18" customHeight="1" x14ac:dyDescent="0.25">
      <c r="A69" s="210" t="s">
        <v>530</v>
      </c>
      <c r="B69" s="50" t="s">
        <v>508</v>
      </c>
      <c r="C69" s="580">
        <v>44</v>
      </c>
      <c r="D69" s="580">
        <v>45</v>
      </c>
      <c r="E69" s="580">
        <v>45</v>
      </c>
      <c r="F69" s="457"/>
      <c r="G69" s="584">
        <f t="shared" si="32"/>
        <v>-45</v>
      </c>
      <c r="H69" s="582">
        <f>IFERROR(G69/ABS(E69), "-")</f>
        <v>-1</v>
      </c>
      <c r="I69" s="583"/>
      <c r="J69" s="580">
        <v>45</v>
      </c>
      <c r="K69" s="64"/>
      <c r="L69" s="584">
        <f t="shared" si="40"/>
        <v>-45</v>
      </c>
      <c r="M69" s="582">
        <f t="shared" si="34"/>
        <v>-1</v>
      </c>
      <c r="N69" s="583"/>
      <c r="O69" s="580">
        <v>45</v>
      </c>
      <c r="P69" s="64"/>
      <c r="Q69" s="584">
        <f t="shared" si="41"/>
        <v>-45</v>
      </c>
      <c r="R69" s="582">
        <f t="shared" si="36"/>
        <v>-1</v>
      </c>
      <c r="S69" s="583"/>
      <c r="T69" s="580">
        <v>45</v>
      </c>
      <c r="U69" s="64"/>
      <c r="V69" s="65">
        <f t="shared" si="37"/>
        <v>-45</v>
      </c>
      <c r="W69" s="61">
        <f t="shared" si="38"/>
        <v>-1</v>
      </c>
      <c r="X69" s="196"/>
    </row>
    <row r="70" spans="1:24" ht="18" customHeight="1" x14ac:dyDescent="0.25">
      <c r="A70" s="210" t="s">
        <v>531</v>
      </c>
      <c r="B70" s="50" t="s">
        <v>510</v>
      </c>
      <c r="C70" s="580">
        <v>39</v>
      </c>
      <c r="D70" s="580">
        <v>39</v>
      </c>
      <c r="E70" s="580">
        <v>39</v>
      </c>
      <c r="F70" s="457"/>
      <c r="G70" s="584">
        <f t="shared" si="32"/>
        <v>-39</v>
      </c>
      <c r="H70" s="582">
        <f>IFERROR(G70/ABS(E70), "-")</f>
        <v>-1</v>
      </c>
      <c r="I70" s="583"/>
      <c r="J70" s="580">
        <v>39</v>
      </c>
      <c r="K70" s="64"/>
      <c r="L70" s="584">
        <f t="shared" si="40"/>
        <v>-39</v>
      </c>
      <c r="M70" s="582">
        <f t="shared" si="34"/>
        <v>-1</v>
      </c>
      <c r="N70" s="583"/>
      <c r="O70" s="580">
        <v>39</v>
      </c>
      <c r="P70" s="64"/>
      <c r="Q70" s="584">
        <f t="shared" si="41"/>
        <v>-39</v>
      </c>
      <c r="R70" s="582">
        <f t="shared" si="36"/>
        <v>-1</v>
      </c>
      <c r="S70" s="583"/>
      <c r="T70" s="580">
        <v>39</v>
      </c>
      <c r="U70" s="64"/>
      <c r="V70" s="65">
        <f t="shared" si="37"/>
        <v>-39</v>
      </c>
      <c r="W70" s="61">
        <f t="shared" si="38"/>
        <v>-1</v>
      </c>
      <c r="X70" s="196"/>
    </row>
    <row r="71" spans="1:24" ht="18" customHeight="1" x14ac:dyDescent="0.25">
      <c r="A71" s="210" t="s">
        <v>532</v>
      </c>
      <c r="B71" s="50" t="s">
        <v>512</v>
      </c>
      <c r="C71" s="580">
        <v>230</v>
      </c>
      <c r="D71" s="580">
        <v>232</v>
      </c>
      <c r="E71" s="580">
        <v>232</v>
      </c>
      <c r="F71" s="457"/>
      <c r="G71" s="584">
        <f t="shared" si="32"/>
        <v>-232</v>
      </c>
      <c r="H71" s="582">
        <f t="shared" si="39"/>
        <v>-1</v>
      </c>
      <c r="I71" s="583"/>
      <c r="J71" s="580">
        <v>232</v>
      </c>
      <c r="K71" s="64"/>
      <c r="L71" s="584">
        <f t="shared" si="40"/>
        <v>-232</v>
      </c>
      <c r="M71" s="582">
        <f t="shared" si="34"/>
        <v>-1</v>
      </c>
      <c r="N71" s="583"/>
      <c r="O71" s="580">
        <v>232</v>
      </c>
      <c r="P71" s="64"/>
      <c r="Q71" s="584">
        <f t="shared" si="41"/>
        <v>-232</v>
      </c>
      <c r="R71" s="582">
        <f t="shared" si="36"/>
        <v>-1</v>
      </c>
      <c r="S71" s="583"/>
      <c r="T71" s="580">
        <v>233</v>
      </c>
      <c r="U71" s="64"/>
      <c r="V71" s="65">
        <f t="shared" si="37"/>
        <v>-233</v>
      </c>
      <c r="W71" s="61">
        <f t="shared" si="38"/>
        <v>-1</v>
      </c>
      <c r="X71" s="196"/>
    </row>
    <row r="72" spans="1:24" ht="18" customHeight="1" x14ac:dyDescent="0.25">
      <c r="A72" s="222" t="s">
        <v>533</v>
      </c>
      <c r="B72" s="103" t="s">
        <v>534</v>
      </c>
      <c r="C72" s="576" t="s">
        <v>535</v>
      </c>
      <c r="D72" s="93">
        <v>1959</v>
      </c>
      <c r="E72" s="93">
        <v>1959</v>
      </c>
      <c r="F72" s="93"/>
      <c r="G72" s="577">
        <f>F72-E72</f>
        <v>-1959</v>
      </c>
      <c r="H72" s="578">
        <f t="shared" si="39"/>
        <v>-1</v>
      </c>
      <c r="I72" s="579"/>
      <c r="J72" s="93">
        <v>1959</v>
      </c>
      <c r="K72" s="93"/>
      <c r="L72" s="577">
        <f>K72-J72</f>
        <v>-1959</v>
      </c>
      <c r="M72" s="578">
        <f t="shared" si="34"/>
        <v>-1</v>
      </c>
      <c r="N72" s="579"/>
      <c r="O72" s="93">
        <v>1959</v>
      </c>
      <c r="P72" s="93"/>
      <c r="Q72" s="577">
        <f>P72-O72</f>
        <v>-1959</v>
      </c>
      <c r="R72" s="578">
        <f t="shared" si="36"/>
        <v>-1</v>
      </c>
      <c r="S72" s="579"/>
      <c r="T72" s="93">
        <v>1959</v>
      </c>
      <c r="U72" s="93"/>
      <c r="V72" s="421">
        <f t="shared" si="37"/>
        <v>-1959</v>
      </c>
      <c r="W72" s="97">
        <f t="shared" si="38"/>
        <v>-1</v>
      </c>
      <c r="X72" s="230"/>
    </row>
    <row r="73" spans="1:24" ht="18" customHeight="1" x14ac:dyDescent="0.25">
      <c r="A73" s="210" t="s">
        <v>536</v>
      </c>
      <c r="B73" s="231" t="s">
        <v>504</v>
      </c>
      <c r="C73" s="580" t="s">
        <v>517</v>
      </c>
      <c r="D73" s="64">
        <v>2999</v>
      </c>
      <c r="E73" s="64">
        <v>2999</v>
      </c>
      <c r="F73" s="213"/>
      <c r="G73" s="581">
        <f t="shared" si="32"/>
        <v>-2999</v>
      </c>
      <c r="H73" s="582">
        <f t="shared" si="39"/>
        <v>-1</v>
      </c>
      <c r="I73" s="583"/>
      <c r="J73" s="64">
        <v>2999</v>
      </c>
      <c r="K73" s="213"/>
      <c r="L73" s="581">
        <f t="shared" si="40"/>
        <v>-2999</v>
      </c>
      <c r="M73" s="582">
        <f t="shared" si="34"/>
        <v>-1</v>
      </c>
      <c r="N73" s="583"/>
      <c r="O73" s="64">
        <v>2999</v>
      </c>
      <c r="P73" s="213"/>
      <c r="Q73" s="581">
        <f t="shared" si="41"/>
        <v>-2999</v>
      </c>
      <c r="R73" s="582">
        <f t="shared" si="36"/>
        <v>-1</v>
      </c>
      <c r="S73" s="583"/>
      <c r="T73" s="64">
        <v>2999</v>
      </c>
      <c r="U73" s="213"/>
      <c r="V73" s="214">
        <f t="shared" si="37"/>
        <v>-2999</v>
      </c>
      <c r="W73" s="61">
        <f t="shared" si="38"/>
        <v>-1</v>
      </c>
      <c r="X73" s="196"/>
    </row>
    <row r="74" spans="1:24" ht="18" customHeight="1" x14ac:dyDescent="0.25">
      <c r="A74" s="210" t="s">
        <v>537</v>
      </c>
      <c r="B74" s="231" t="s">
        <v>506</v>
      </c>
      <c r="C74" s="580" t="s">
        <v>519</v>
      </c>
      <c r="D74" s="64">
        <v>2224</v>
      </c>
      <c r="E74" s="64">
        <v>2224</v>
      </c>
      <c r="F74" s="64"/>
      <c r="G74" s="584">
        <f t="shared" si="32"/>
        <v>-2224</v>
      </c>
      <c r="H74" s="582">
        <f t="shared" si="39"/>
        <v>-1</v>
      </c>
      <c r="I74" s="583"/>
      <c r="J74" s="64">
        <v>2224</v>
      </c>
      <c r="K74" s="64"/>
      <c r="L74" s="584">
        <f t="shared" si="40"/>
        <v>-2224</v>
      </c>
      <c r="M74" s="582">
        <f t="shared" si="34"/>
        <v>-1</v>
      </c>
      <c r="N74" s="583"/>
      <c r="O74" s="64">
        <v>2224</v>
      </c>
      <c r="P74" s="64"/>
      <c r="Q74" s="584">
        <f t="shared" si="41"/>
        <v>-2224</v>
      </c>
      <c r="R74" s="582">
        <f t="shared" si="36"/>
        <v>-1</v>
      </c>
      <c r="S74" s="583"/>
      <c r="T74" s="64">
        <v>2224</v>
      </c>
      <c r="U74" s="64"/>
      <c r="V74" s="65">
        <f t="shared" si="37"/>
        <v>-2224</v>
      </c>
      <c r="W74" s="61">
        <f t="shared" si="38"/>
        <v>-1</v>
      </c>
      <c r="X74" s="196"/>
    </row>
    <row r="75" spans="1:24" ht="18" customHeight="1" x14ac:dyDescent="0.25">
      <c r="A75" s="210" t="s">
        <v>538</v>
      </c>
      <c r="B75" s="50" t="s">
        <v>508</v>
      </c>
      <c r="C75" s="580" t="s">
        <v>539</v>
      </c>
      <c r="D75" s="215">
        <v>1287</v>
      </c>
      <c r="E75" s="215">
        <v>1287</v>
      </c>
      <c r="F75" s="64"/>
      <c r="G75" s="584">
        <f t="shared" si="32"/>
        <v>-1287</v>
      </c>
      <c r="H75" s="582">
        <f t="shared" si="39"/>
        <v>-1</v>
      </c>
      <c r="I75" s="583"/>
      <c r="J75" s="215">
        <v>1287</v>
      </c>
      <c r="K75" s="64"/>
      <c r="L75" s="584">
        <f t="shared" si="40"/>
        <v>-1287</v>
      </c>
      <c r="M75" s="582">
        <f t="shared" si="34"/>
        <v>-1</v>
      </c>
      <c r="N75" s="583"/>
      <c r="O75" s="215">
        <v>1287</v>
      </c>
      <c r="P75" s="64"/>
      <c r="Q75" s="584">
        <f t="shared" si="41"/>
        <v>-1287</v>
      </c>
      <c r="R75" s="582">
        <f t="shared" si="36"/>
        <v>-1</v>
      </c>
      <c r="S75" s="583"/>
      <c r="T75" s="215">
        <v>1287</v>
      </c>
      <c r="U75" s="64"/>
      <c r="V75" s="65">
        <f t="shared" si="37"/>
        <v>-1287</v>
      </c>
      <c r="W75" s="61">
        <f t="shared" si="38"/>
        <v>-1</v>
      </c>
      <c r="X75" s="196"/>
    </row>
    <row r="76" spans="1:24" ht="18" customHeight="1" x14ac:dyDescent="0.25">
      <c r="A76" s="210" t="s">
        <v>540</v>
      </c>
      <c r="B76" s="50" t="s">
        <v>510</v>
      </c>
      <c r="C76" s="580" t="s">
        <v>541</v>
      </c>
      <c r="D76" s="215">
        <v>2544</v>
      </c>
      <c r="E76" s="215">
        <v>2544</v>
      </c>
      <c r="F76" s="64"/>
      <c r="G76" s="584">
        <f t="shared" si="32"/>
        <v>-2544</v>
      </c>
      <c r="H76" s="582">
        <f t="shared" si="39"/>
        <v>-1</v>
      </c>
      <c r="I76" s="583"/>
      <c r="J76" s="215">
        <v>2544</v>
      </c>
      <c r="K76" s="64"/>
      <c r="L76" s="584">
        <f t="shared" si="40"/>
        <v>-2544</v>
      </c>
      <c r="M76" s="582">
        <f t="shared" si="34"/>
        <v>-1</v>
      </c>
      <c r="N76" s="583"/>
      <c r="O76" s="215">
        <v>2544</v>
      </c>
      <c r="P76" s="64"/>
      <c r="Q76" s="584">
        <f t="shared" si="41"/>
        <v>-2544</v>
      </c>
      <c r="R76" s="582">
        <f t="shared" si="36"/>
        <v>-1</v>
      </c>
      <c r="S76" s="583"/>
      <c r="T76" s="215">
        <v>2544</v>
      </c>
      <c r="U76" s="64"/>
      <c r="V76" s="65">
        <f t="shared" si="37"/>
        <v>-2544</v>
      </c>
      <c r="W76" s="61">
        <f t="shared" si="38"/>
        <v>-1</v>
      </c>
      <c r="X76" s="196"/>
    </row>
    <row r="77" spans="1:24" ht="18" customHeight="1" x14ac:dyDescent="0.25">
      <c r="A77" s="210" t="s">
        <v>542</v>
      </c>
      <c r="B77" s="50" t="s">
        <v>512</v>
      </c>
      <c r="C77" s="580" t="s">
        <v>543</v>
      </c>
      <c r="D77" s="215">
        <v>1076</v>
      </c>
      <c r="E77" s="215">
        <v>1076</v>
      </c>
      <c r="F77" s="64"/>
      <c r="G77" s="584">
        <f t="shared" si="32"/>
        <v>-1076</v>
      </c>
      <c r="H77" s="582">
        <f t="shared" si="39"/>
        <v>-1</v>
      </c>
      <c r="I77" s="583"/>
      <c r="J77" s="215">
        <v>1076</v>
      </c>
      <c r="K77" s="64"/>
      <c r="L77" s="584">
        <f t="shared" si="40"/>
        <v>-1076</v>
      </c>
      <c r="M77" s="582">
        <f t="shared" si="34"/>
        <v>-1</v>
      </c>
      <c r="N77" s="583"/>
      <c r="O77" s="215">
        <v>1076</v>
      </c>
      <c r="P77" s="64"/>
      <c r="Q77" s="584">
        <f t="shared" si="41"/>
        <v>-1076</v>
      </c>
      <c r="R77" s="582">
        <f t="shared" si="36"/>
        <v>-1</v>
      </c>
      <c r="S77" s="583"/>
      <c r="T77" s="215">
        <v>1076</v>
      </c>
      <c r="U77" s="64"/>
      <c r="V77" s="65">
        <f t="shared" si="37"/>
        <v>-1076</v>
      </c>
      <c r="W77" s="61">
        <f t="shared" si="38"/>
        <v>-1</v>
      </c>
      <c r="X77" s="196"/>
    </row>
    <row r="78" spans="1:24" ht="18" customHeight="1" x14ac:dyDescent="0.25">
      <c r="A78" s="222" t="s">
        <v>544</v>
      </c>
      <c r="B78" s="98" t="s">
        <v>545</v>
      </c>
      <c r="C78" s="566" t="s">
        <v>391</v>
      </c>
      <c r="D78" s="282" t="s">
        <v>391</v>
      </c>
      <c r="E78" s="233" t="s">
        <v>391</v>
      </c>
      <c r="F78" s="192" t="s">
        <v>391</v>
      </c>
      <c r="G78" s="192" t="s">
        <v>391</v>
      </c>
      <c r="H78" s="209" t="s">
        <v>391</v>
      </c>
      <c r="I78" s="209" t="s">
        <v>391</v>
      </c>
      <c r="J78" s="208" t="s">
        <v>391</v>
      </c>
      <c r="K78" s="192" t="s">
        <v>391</v>
      </c>
      <c r="L78" s="192" t="s">
        <v>391</v>
      </c>
      <c r="M78" s="209" t="s">
        <v>391</v>
      </c>
      <c r="N78" s="209" t="s">
        <v>391</v>
      </c>
      <c r="O78" s="208" t="s">
        <v>391</v>
      </c>
      <c r="P78" s="192" t="s">
        <v>391</v>
      </c>
      <c r="Q78" s="192" t="s">
        <v>391</v>
      </c>
      <c r="R78" s="209" t="s">
        <v>391</v>
      </c>
      <c r="S78" s="209" t="s">
        <v>391</v>
      </c>
      <c r="T78" s="208" t="s">
        <v>391</v>
      </c>
      <c r="U78" s="192" t="s">
        <v>391</v>
      </c>
      <c r="V78" s="192" t="s">
        <v>391</v>
      </c>
      <c r="W78" s="209" t="s">
        <v>391</v>
      </c>
      <c r="X78" s="209" t="s">
        <v>391</v>
      </c>
    </row>
    <row r="79" spans="1:24" ht="18" customHeight="1" x14ac:dyDescent="0.25">
      <c r="A79" s="210" t="s">
        <v>546</v>
      </c>
      <c r="B79" s="50" t="s">
        <v>547</v>
      </c>
      <c r="C79" s="567">
        <v>12</v>
      </c>
      <c r="D79" s="234">
        <v>13</v>
      </c>
      <c r="E79" s="64">
        <v>12</v>
      </c>
      <c r="F79" s="64"/>
      <c r="G79" s="65">
        <f>F79-E79</f>
        <v>-12</v>
      </c>
      <c r="H79" s="228">
        <f t="shared" ref="H79:H82" si="42">IFERROR(G79/ABS(E79), "-")</f>
        <v>-1</v>
      </c>
      <c r="I79" s="196"/>
      <c r="J79" s="235">
        <v>13</v>
      </c>
      <c r="K79" s="64"/>
      <c r="L79" s="65">
        <f t="shared" ref="L79:L82" si="43">K79-J79</f>
        <v>-13</v>
      </c>
      <c r="M79" s="228">
        <f t="shared" ref="M79:M82" si="44">IFERROR(L79/ABS(J79), "-")</f>
        <v>-1</v>
      </c>
      <c r="N79" s="196"/>
      <c r="O79" s="235">
        <v>14</v>
      </c>
      <c r="P79" s="64"/>
      <c r="Q79" s="65">
        <f t="shared" ref="Q79:Q82" si="45">P79-O79</f>
        <v>-14</v>
      </c>
      <c r="R79" s="228">
        <f t="shared" ref="R79:R81" si="46">IFERROR(Q79/ABS(O79), "-")</f>
        <v>-1</v>
      </c>
      <c r="S79" s="196"/>
      <c r="T79" s="235">
        <v>14</v>
      </c>
      <c r="U79" s="64"/>
      <c r="V79" s="65">
        <f t="shared" ref="V79:V82" si="47">U79-T79</f>
        <v>-14</v>
      </c>
      <c r="W79" s="228">
        <f t="shared" ref="W79:W82" si="48">IFERROR(V79/ABS(T79), "-")</f>
        <v>-1</v>
      </c>
      <c r="X79" s="196"/>
    </row>
    <row r="80" spans="1:24" ht="50.1" customHeight="1" x14ac:dyDescent="0.25">
      <c r="A80" s="210" t="s">
        <v>548</v>
      </c>
      <c r="B80" s="50" t="s">
        <v>549</v>
      </c>
      <c r="C80" s="569">
        <v>19</v>
      </c>
      <c r="D80" s="726">
        <v>19</v>
      </c>
      <c r="E80" s="81">
        <v>18.239999999999998</v>
      </c>
      <c r="F80" s="81"/>
      <c r="G80" s="82">
        <f t="shared" ref="G80:G82" si="49">F80-E80</f>
        <v>-18.239999999999998</v>
      </c>
      <c r="H80" s="727">
        <f t="shared" si="42"/>
        <v>-1</v>
      </c>
      <c r="I80" s="217"/>
      <c r="J80" s="728">
        <v>18.54</v>
      </c>
      <c r="K80" s="81"/>
      <c r="L80" s="82">
        <f t="shared" si="43"/>
        <v>-18.54</v>
      </c>
      <c r="M80" s="727">
        <f t="shared" si="44"/>
        <v>-1</v>
      </c>
      <c r="N80" s="217"/>
      <c r="O80" s="728">
        <v>18.11</v>
      </c>
      <c r="P80" s="81"/>
      <c r="Q80" s="82">
        <f t="shared" si="45"/>
        <v>-18.11</v>
      </c>
      <c r="R80" s="727">
        <f t="shared" si="46"/>
        <v>-1</v>
      </c>
      <c r="S80" s="217"/>
      <c r="T80" s="728">
        <v>19</v>
      </c>
      <c r="U80" s="64"/>
      <c r="V80" s="65">
        <f t="shared" si="47"/>
        <v>-19</v>
      </c>
      <c r="W80" s="228">
        <f t="shared" si="48"/>
        <v>-1</v>
      </c>
      <c r="X80" s="196"/>
    </row>
    <row r="81" spans="1:24" ht="36" customHeight="1" x14ac:dyDescent="0.25">
      <c r="A81" s="210" t="s">
        <v>550</v>
      </c>
      <c r="B81" s="50" t="s">
        <v>551</v>
      </c>
      <c r="C81" s="567">
        <v>20</v>
      </c>
      <c r="D81" s="234">
        <v>20</v>
      </c>
      <c r="E81" s="64">
        <v>20</v>
      </c>
      <c r="F81" s="64"/>
      <c r="G81" s="65">
        <f t="shared" si="49"/>
        <v>-20</v>
      </c>
      <c r="H81" s="228">
        <f t="shared" si="42"/>
        <v>-1</v>
      </c>
      <c r="I81" s="196"/>
      <c r="J81" s="235">
        <v>20</v>
      </c>
      <c r="K81" s="64"/>
      <c r="L81" s="65">
        <f t="shared" si="43"/>
        <v>-20</v>
      </c>
      <c r="M81" s="228">
        <f t="shared" si="44"/>
        <v>-1</v>
      </c>
      <c r="N81" s="196"/>
      <c r="O81" s="235">
        <v>20</v>
      </c>
      <c r="P81" s="64"/>
      <c r="Q81" s="65">
        <f t="shared" si="45"/>
        <v>-20</v>
      </c>
      <c r="R81" s="228">
        <f t="shared" si="46"/>
        <v>-1</v>
      </c>
      <c r="S81" s="196"/>
      <c r="T81" s="235">
        <v>20</v>
      </c>
      <c r="U81" s="64"/>
      <c r="V81" s="65">
        <f t="shared" si="47"/>
        <v>-20</v>
      </c>
      <c r="W81" s="228">
        <f t="shared" si="48"/>
        <v>-1</v>
      </c>
      <c r="X81" s="196"/>
    </row>
    <row r="82" spans="1:24" ht="34.5" customHeight="1" x14ac:dyDescent="0.25">
      <c r="A82" s="210" t="s">
        <v>552</v>
      </c>
      <c r="B82" s="50" t="s">
        <v>553</v>
      </c>
      <c r="C82" s="567">
        <v>40</v>
      </c>
      <c r="D82" s="234">
        <v>40</v>
      </c>
      <c r="E82" s="64">
        <v>40</v>
      </c>
      <c r="F82" s="64"/>
      <c r="G82" s="65">
        <f t="shared" si="49"/>
        <v>-40</v>
      </c>
      <c r="H82" s="228">
        <f t="shared" si="42"/>
        <v>-1</v>
      </c>
      <c r="I82" s="196"/>
      <c r="J82" s="235">
        <v>40</v>
      </c>
      <c r="K82" s="64"/>
      <c r="L82" s="65">
        <f t="shared" si="43"/>
        <v>-40</v>
      </c>
      <c r="M82" s="228">
        <f t="shared" si="44"/>
        <v>-1</v>
      </c>
      <c r="N82" s="196"/>
      <c r="O82" s="235">
        <v>40</v>
      </c>
      <c r="P82" s="64"/>
      <c r="Q82" s="65">
        <f t="shared" si="45"/>
        <v>-40</v>
      </c>
      <c r="R82" s="228">
        <f>IFERROR(Q82/ABS(O82), "-")</f>
        <v>-1</v>
      </c>
      <c r="S82" s="196"/>
      <c r="T82" s="235">
        <v>40</v>
      </c>
      <c r="U82" s="64"/>
      <c r="V82" s="65">
        <f t="shared" si="47"/>
        <v>-40</v>
      </c>
      <c r="W82" s="228">
        <f t="shared" si="48"/>
        <v>-1</v>
      </c>
      <c r="X82" s="196"/>
    </row>
    <row r="83" spans="1:24" ht="18" customHeight="1" x14ac:dyDescent="0.25">
      <c r="A83" s="287" t="s">
        <v>554</v>
      </c>
      <c r="B83" s="288" t="s">
        <v>555</v>
      </c>
      <c r="C83" s="565" t="s">
        <v>391</v>
      </c>
      <c r="D83" s="282" t="s">
        <v>391</v>
      </c>
      <c r="E83" s="282" t="s">
        <v>391</v>
      </c>
      <c r="F83" s="283" t="s">
        <v>391</v>
      </c>
      <c r="G83" s="283" t="s">
        <v>391</v>
      </c>
      <c r="H83" s="284" t="s">
        <v>391</v>
      </c>
      <c r="I83" s="284" t="s">
        <v>391</v>
      </c>
      <c r="J83" s="282" t="s">
        <v>391</v>
      </c>
      <c r="K83" s="283" t="s">
        <v>391</v>
      </c>
      <c r="L83" s="283" t="s">
        <v>391</v>
      </c>
      <c r="M83" s="284" t="s">
        <v>391</v>
      </c>
      <c r="N83" s="284" t="s">
        <v>391</v>
      </c>
      <c r="O83" s="282" t="s">
        <v>391</v>
      </c>
      <c r="P83" s="283" t="s">
        <v>391</v>
      </c>
      <c r="Q83" s="283" t="s">
        <v>391</v>
      </c>
      <c r="R83" s="284" t="s">
        <v>391</v>
      </c>
      <c r="S83" s="284" t="s">
        <v>391</v>
      </c>
      <c r="T83" s="282" t="s">
        <v>391</v>
      </c>
      <c r="U83" s="283" t="s">
        <v>391</v>
      </c>
      <c r="V83" s="283" t="s">
        <v>391</v>
      </c>
      <c r="W83" s="284" t="s">
        <v>391</v>
      </c>
      <c r="X83" s="284" t="s">
        <v>391</v>
      </c>
    </row>
    <row r="84" spans="1:24" ht="18" customHeight="1" x14ac:dyDescent="0.25">
      <c r="A84" s="216" t="s">
        <v>556</v>
      </c>
      <c r="B84" s="15" t="s">
        <v>557</v>
      </c>
      <c r="C84" s="587" t="s">
        <v>558</v>
      </c>
      <c r="D84" s="588" t="s">
        <v>558</v>
      </c>
      <c r="E84" s="588" t="s">
        <v>558</v>
      </c>
      <c r="F84" s="181"/>
      <c r="G84" s="589" t="e">
        <f>F84-E84</f>
        <v>#VALUE!</v>
      </c>
      <c r="H84" s="590" t="str">
        <f t="shared" ref="H84:H89" si="50">IFERROR(G84/ABS(E84), "-")</f>
        <v>-</v>
      </c>
      <c r="I84" s="181"/>
      <c r="J84" s="588" t="s">
        <v>558</v>
      </c>
      <c r="K84" s="181"/>
      <c r="L84" s="589" t="e">
        <f t="shared" ref="L84:L85" si="51">K84-J84</f>
        <v>#VALUE!</v>
      </c>
      <c r="M84" s="590" t="str">
        <f t="shared" ref="M84:M89" si="52">IFERROR(L84/ABS(J84), "-")</f>
        <v>-</v>
      </c>
      <c r="N84" s="181"/>
      <c r="O84" s="588" t="s">
        <v>558</v>
      </c>
      <c r="P84" s="181"/>
      <c r="Q84" s="589" t="e">
        <f t="shared" ref="Q84:Q89" si="53">P84-O84</f>
        <v>#VALUE!</v>
      </c>
      <c r="R84" s="590" t="str">
        <f>IFERROR(Q84/ABS(O84), "-")</f>
        <v>-</v>
      </c>
      <c r="S84" s="181"/>
      <c r="T84" s="588" t="s">
        <v>558</v>
      </c>
      <c r="U84" s="81"/>
      <c r="V84" s="82" t="e">
        <f t="shared" ref="V84:V89" si="54">U84-T84</f>
        <v>#VALUE!</v>
      </c>
      <c r="W84" s="72" t="str">
        <f t="shared" ref="W84:W89" si="55">IFERROR(V84/ABS(T84), "-")</f>
        <v>-</v>
      </c>
      <c r="X84" s="217"/>
    </row>
    <row r="85" spans="1:24" ht="18" customHeight="1" x14ac:dyDescent="0.25">
      <c r="A85" s="216" t="s">
        <v>559</v>
      </c>
      <c r="B85" s="236" t="s">
        <v>560</v>
      </c>
      <c r="C85" s="587" t="s">
        <v>561</v>
      </c>
      <c r="D85" s="587" t="s">
        <v>561</v>
      </c>
      <c r="E85" s="587" t="s">
        <v>561</v>
      </c>
      <c r="F85" s="181"/>
      <c r="G85" s="589" t="s">
        <v>73</v>
      </c>
      <c r="H85" s="590" t="str">
        <f t="shared" si="50"/>
        <v>-</v>
      </c>
      <c r="I85" s="591"/>
      <c r="J85" s="586" t="s">
        <v>561</v>
      </c>
      <c r="K85" s="81"/>
      <c r="L85" s="589" t="e">
        <f t="shared" si="51"/>
        <v>#VALUE!</v>
      </c>
      <c r="M85" s="590" t="str">
        <f t="shared" si="52"/>
        <v>-</v>
      </c>
      <c r="N85" s="591"/>
      <c r="O85" s="587" t="s">
        <v>561</v>
      </c>
      <c r="P85" s="81"/>
      <c r="Q85" s="589" t="e">
        <f t="shared" si="53"/>
        <v>#VALUE!</v>
      </c>
      <c r="R85" s="590" t="str">
        <f t="shared" ref="R85:R89" si="56">IFERROR(Q85/ABS(O85), "-")</f>
        <v>-</v>
      </c>
      <c r="S85" s="591"/>
      <c r="T85" s="587" t="s">
        <v>561</v>
      </c>
      <c r="U85" s="81"/>
      <c r="V85" s="82" t="e">
        <f t="shared" si="54"/>
        <v>#VALUE!</v>
      </c>
      <c r="W85" s="72" t="str">
        <f t="shared" si="55"/>
        <v>-</v>
      </c>
      <c r="X85" s="217"/>
    </row>
    <row r="86" spans="1:24" ht="18" customHeight="1" x14ac:dyDescent="0.25">
      <c r="A86" s="216" t="s">
        <v>562</v>
      </c>
      <c r="B86" s="38" t="s">
        <v>563</v>
      </c>
      <c r="C86" s="586" t="s">
        <v>564</v>
      </c>
      <c r="D86" s="586" t="s">
        <v>564</v>
      </c>
      <c r="E86" s="586" t="s">
        <v>565</v>
      </c>
      <c r="F86" s="18"/>
      <c r="G86" s="589" t="e">
        <f t="shared" ref="G86:G89" si="57">F86-E86</f>
        <v>#VALUE!</v>
      </c>
      <c r="H86" s="590" t="str">
        <f t="shared" si="50"/>
        <v>-</v>
      </c>
      <c r="I86" s="592"/>
      <c r="J86" s="586" t="s">
        <v>566</v>
      </c>
      <c r="K86" s="18"/>
      <c r="L86" s="589" t="e">
        <f>K86-J86</f>
        <v>#VALUE!</v>
      </c>
      <c r="M86" s="590" t="str">
        <f t="shared" si="52"/>
        <v>-</v>
      </c>
      <c r="N86" s="591"/>
      <c r="O86" s="586" t="s">
        <v>567</v>
      </c>
      <c r="P86" s="18"/>
      <c r="Q86" s="589" t="e">
        <f t="shared" si="53"/>
        <v>#VALUE!</v>
      </c>
      <c r="R86" s="590" t="str">
        <f>IFERROR(Q86/ABS(O86), "-")</f>
        <v>-</v>
      </c>
      <c r="S86" s="591"/>
      <c r="T86" s="586" t="s">
        <v>564</v>
      </c>
      <c r="U86" s="18"/>
      <c r="V86" s="82" t="e">
        <f t="shared" si="54"/>
        <v>#VALUE!</v>
      </c>
      <c r="W86" s="72" t="str">
        <f t="shared" si="55"/>
        <v>-</v>
      </c>
      <c r="X86" s="217"/>
    </row>
    <row r="87" spans="1:24" x14ac:dyDescent="0.25">
      <c r="A87" s="216" t="s">
        <v>568</v>
      </c>
      <c r="B87" s="38" t="s">
        <v>569</v>
      </c>
      <c r="C87" s="586" t="s">
        <v>570</v>
      </c>
      <c r="D87" s="586" t="s">
        <v>570</v>
      </c>
      <c r="E87" s="586" t="s">
        <v>571</v>
      </c>
      <c r="F87" s="18"/>
      <c r="G87" s="589" t="e">
        <f>F87-E87</f>
        <v>#VALUE!</v>
      </c>
      <c r="H87" s="590" t="str">
        <f>IFERROR(G87/ABS(E87), "-")</f>
        <v>-</v>
      </c>
      <c r="I87" s="592"/>
      <c r="J87" s="586" t="s">
        <v>572</v>
      </c>
      <c r="K87" s="18"/>
      <c r="L87" s="589" t="e">
        <f t="shared" ref="L87:L89" si="58">K87-J87</f>
        <v>#VALUE!</v>
      </c>
      <c r="M87" s="590" t="str">
        <f t="shared" si="52"/>
        <v>-</v>
      </c>
      <c r="N87" s="591"/>
      <c r="O87" s="586" t="s">
        <v>573</v>
      </c>
      <c r="P87" s="18"/>
      <c r="Q87" s="589" t="e">
        <f>P87-O87</f>
        <v>#VALUE!</v>
      </c>
      <c r="R87" s="590" t="str">
        <f>IFERROR(Q87/ABS(O87), "-")</f>
        <v>-</v>
      </c>
      <c r="S87" s="591"/>
      <c r="T87" s="586" t="s">
        <v>570</v>
      </c>
      <c r="U87" s="18"/>
      <c r="V87" s="82" t="e">
        <f t="shared" si="54"/>
        <v>#VALUE!</v>
      </c>
      <c r="W87" s="72" t="str">
        <f t="shared" si="55"/>
        <v>-</v>
      </c>
      <c r="X87" s="217"/>
    </row>
    <row r="88" spans="1:24" ht="18" customHeight="1" x14ac:dyDescent="0.25">
      <c r="A88" s="216" t="s">
        <v>574</v>
      </c>
      <c r="B88" s="38" t="s">
        <v>575</v>
      </c>
      <c r="C88" s="586" t="s">
        <v>576</v>
      </c>
      <c r="D88" s="586" t="s">
        <v>576</v>
      </c>
      <c r="E88" s="586" t="s">
        <v>577</v>
      </c>
      <c r="F88" s="18"/>
      <c r="G88" s="589" t="e">
        <f t="shared" si="57"/>
        <v>#VALUE!</v>
      </c>
      <c r="H88" s="590" t="str">
        <f t="shared" si="50"/>
        <v>-</v>
      </c>
      <c r="I88" s="591"/>
      <c r="J88" s="586" t="s">
        <v>578</v>
      </c>
      <c r="K88" s="18"/>
      <c r="L88" s="589" t="e">
        <f t="shared" si="58"/>
        <v>#VALUE!</v>
      </c>
      <c r="M88" s="590" t="str">
        <f t="shared" si="52"/>
        <v>-</v>
      </c>
      <c r="N88" s="591"/>
      <c r="O88" s="586" t="s">
        <v>579</v>
      </c>
      <c r="P88" s="18"/>
      <c r="Q88" s="589" t="e">
        <f t="shared" si="53"/>
        <v>#VALUE!</v>
      </c>
      <c r="R88" s="590" t="str">
        <f t="shared" si="56"/>
        <v>-</v>
      </c>
      <c r="S88" s="591"/>
      <c r="T88" s="586" t="s">
        <v>576</v>
      </c>
      <c r="U88" s="18"/>
      <c r="V88" s="82" t="e">
        <f t="shared" si="54"/>
        <v>#VALUE!</v>
      </c>
      <c r="W88" s="72" t="str">
        <f t="shared" si="55"/>
        <v>-</v>
      </c>
      <c r="X88" s="217"/>
    </row>
    <row r="89" spans="1:24" ht="24.75" customHeight="1" x14ac:dyDescent="0.25">
      <c r="A89" s="216" t="s">
        <v>580</v>
      </c>
      <c r="B89" s="38" t="s">
        <v>581</v>
      </c>
      <c r="C89" s="580" t="s">
        <v>582</v>
      </c>
      <c r="D89" s="580" t="s">
        <v>582</v>
      </c>
      <c r="E89" s="586" t="s">
        <v>583</v>
      </c>
      <c r="F89" s="18"/>
      <c r="G89" s="589" t="e">
        <f t="shared" si="57"/>
        <v>#VALUE!</v>
      </c>
      <c r="H89" s="590" t="str">
        <f t="shared" si="50"/>
        <v>-</v>
      </c>
      <c r="I89" s="591"/>
      <c r="J89" s="586" t="s">
        <v>584</v>
      </c>
      <c r="K89" s="18"/>
      <c r="L89" s="589" t="e">
        <f t="shared" si="58"/>
        <v>#VALUE!</v>
      </c>
      <c r="M89" s="590" t="str">
        <f t="shared" si="52"/>
        <v>-</v>
      </c>
      <c r="N89" s="591"/>
      <c r="O89" s="586" t="s">
        <v>585</v>
      </c>
      <c r="P89" s="18"/>
      <c r="Q89" s="589" t="e">
        <f t="shared" si="53"/>
        <v>#VALUE!</v>
      </c>
      <c r="R89" s="590" t="str">
        <f t="shared" si="56"/>
        <v>-</v>
      </c>
      <c r="S89" s="591"/>
      <c r="T89" s="580" t="s">
        <v>582</v>
      </c>
      <c r="U89" s="213"/>
      <c r="V89" s="65" t="e">
        <f t="shared" si="54"/>
        <v>#VALUE!</v>
      </c>
      <c r="W89" s="61" t="str">
        <f t="shared" si="55"/>
        <v>-</v>
      </c>
      <c r="X89" s="196"/>
    </row>
    <row r="90" spans="1:24" ht="18" customHeight="1" x14ac:dyDescent="0.25">
      <c r="A90" s="287" t="s">
        <v>586</v>
      </c>
      <c r="B90" s="291" t="s">
        <v>587</v>
      </c>
      <c r="C90" s="565" t="s">
        <v>391</v>
      </c>
      <c r="D90" s="282" t="s">
        <v>391</v>
      </c>
      <c r="E90" s="292" t="s">
        <v>391</v>
      </c>
      <c r="F90" s="292" t="s">
        <v>391</v>
      </c>
      <c r="G90" s="283" t="s">
        <v>391</v>
      </c>
      <c r="H90" s="293" t="s">
        <v>391</v>
      </c>
      <c r="I90" s="293" t="s">
        <v>391</v>
      </c>
      <c r="J90" s="292" t="s">
        <v>391</v>
      </c>
      <c r="K90" s="292" t="s">
        <v>391</v>
      </c>
      <c r="L90" s="283" t="s">
        <v>391</v>
      </c>
      <c r="M90" s="293" t="s">
        <v>391</v>
      </c>
      <c r="N90" s="293" t="s">
        <v>391</v>
      </c>
      <c r="O90" s="292" t="s">
        <v>391</v>
      </c>
      <c r="P90" s="292" t="s">
        <v>391</v>
      </c>
      <c r="Q90" s="283" t="s">
        <v>391</v>
      </c>
      <c r="R90" s="293" t="s">
        <v>391</v>
      </c>
      <c r="S90" s="293" t="s">
        <v>391</v>
      </c>
      <c r="T90" s="292" t="s">
        <v>391</v>
      </c>
      <c r="U90" s="292" t="s">
        <v>391</v>
      </c>
      <c r="V90" s="283" t="s">
        <v>391</v>
      </c>
      <c r="W90" s="293" t="s">
        <v>391</v>
      </c>
      <c r="X90" s="293" t="s">
        <v>391</v>
      </c>
    </row>
    <row r="91" spans="1:24" ht="36" customHeight="1" x14ac:dyDescent="0.25">
      <c r="A91" s="216" t="s">
        <v>588</v>
      </c>
      <c r="B91" s="38" t="s">
        <v>589</v>
      </c>
      <c r="C91" s="569" t="s">
        <v>407</v>
      </c>
      <c r="D91" s="181"/>
      <c r="E91" s="18"/>
      <c r="F91" s="18"/>
      <c r="G91" s="82"/>
      <c r="H91" s="72"/>
      <c r="I91" s="217"/>
      <c r="J91" s="18"/>
      <c r="K91" s="18"/>
      <c r="L91" s="82"/>
      <c r="M91" s="72"/>
      <c r="N91" s="217"/>
      <c r="O91" s="18"/>
      <c r="P91" s="18"/>
      <c r="Q91" s="82"/>
      <c r="R91" s="72"/>
      <c r="S91" s="217"/>
      <c r="T91" s="18"/>
      <c r="U91" s="18"/>
      <c r="V91" s="82">
        <f>U91-T91</f>
        <v>0</v>
      </c>
      <c r="W91" s="72" t="str">
        <f>IFERROR(V91/ABS(T91), "-")</f>
        <v>-</v>
      </c>
      <c r="X91" s="217"/>
    </row>
    <row r="92" spans="1:24" x14ac:dyDescent="0.25">
      <c r="A92" s="237"/>
      <c r="B92" s="186"/>
      <c r="C92" s="570"/>
      <c r="D92" s="187"/>
      <c r="E92" s="188"/>
      <c r="F92" s="188"/>
      <c r="G92" s="189"/>
      <c r="H92" s="190"/>
      <c r="I92" s="190"/>
      <c r="J92" s="188"/>
      <c r="K92" s="188"/>
      <c r="L92" s="189"/>
      <c r="M92" s="190"/>
      <c r="N92" s="190"/>
      <c r="O92" s="188"/>
      <c r="P92" s="188"/>
      <c r="Q92" s="189"/>
      <c r="R92" s="190"/>
      <c r="S92" s="190"/>
      <c r="T92" s="188"/>
      <c r="U92" s="188"/>
      <c r="V92" s="189"/>
      <c r="W92" s="190"/>
      <c r="X92" s="190"/>
    </row>
    <row r="93" spans="1:24" x14ac:dyDescent="0.25">
      <c r="A93" s="30" t="s">
        <v>230</v>
      </c>
      <c r="B93" s="186"/>
      <c r="C93" s="570"/>
      <c r="D93" s="187"/>
      <c r="E93" s="188"/>
      <c r="F93" s="188"/>
      <c r="G93" s="189"/>
      <c r="H93" s="190"/>
      <c r="I93" s="190"/>
      <c r="J93" s="188"/>
      <c r="K93" s="188"/>
      <c r="L93" s="189"/>
      <c r="M93" s="190"/>
      <c r="N93" s="190"/>
      <c r="O93" s="188"/>
      <c r="P93" s="188"/>
      <c r="Q93" s="189"/>
      <c r="R93" s="190"/>
      <c r="S93" s="190"/>
      <c r="T93" s="188"/>
      <c r="U93" s="188"/>
      <c r="V93" s="189"/>
      <c r="W93" s="190"/>
      <c r="X93" s="190"/>
    </row>
    <row r="94" spans="1:24" s="12" customFormat="1" ht="239.25" x14ac:dyDescent="0.25">
      <c r="A94" s="543" t="s">
        <v>590</v>
      </c>
      <c r="B94" s="543"/>
      <c r="C94" s="571"/>
      <c r="D94" s="543"/>
      <c r="E94" s="543"/>
      <c r="F94" s="543"/>
      <c r="G94" s="543"/>
      <c r="H94" s="543"/>
      <c r="I94" s="543"/>
      <c r="J94" s="238"/>
      <c r="K94" s="238"/>
      <c r="L94" s="238"/>
      <c r="M94" s="238"/>
      <c r="N94" s="238"/>
      <c r="O94" s="238"/>
      <c r="P94" s="238"/>
      <c r="Q94" s="238"/>
      <c r="R94" s="238"/>
      <c r="S94" s="238"/>
      <c r="T94" s="238"/>
      <c r="U94" s="238"/>
      <c r="V94" s="238"/>
      <c r="W94" s="238"/>
      <c r="X94" s="238"/>
    </row>
    <row r="95" spans="1:24" s="12" customFormat="1" ht="18.75" customHeight="1" x14ac:dyDescent="0.25">
      <c r="A95" s="543" t="s">
        <v>591</v>
      </c>
      <c r="B95" s="543"/>
      <c r="C95" s="571"/>
      <c r="D95" s="543"/>
      <c r="E95" s="543"/>
      <c r="F95" s="543"/>
      <c r="G95" s="543"/>
      <c r="H95" s="543"/>
      <c r="I95" s="543"/>
      <c r="J95" s="238"/>
      <c r="K95" s="238"/>
      <c r="L95" s="238"/>
      <c r="M95" s="238"/>
      <c r="N95" s="238"/>
      <c r="O95" s="238"/>
      <c r="P95" s="238"/>
      <c r="Q95" s="238"/>
      <c r="R95" s="238"/>
      <c r="S95" s="238"/>
      <c r="T95" s="238"/>
      <c r="U95" s="238"/>
      <c r="V95" s="238"/>
      <c r="W95" s="238"/>
      <c r="X95" s="238"/>
    </row>
    <row r="96" spans="1:24" s="12" customFormat="1" ht="18" customHeight="1" x14ac:dyDescent="0.25">
      <c r="A96" s="543" t="s">
        <v>592</v>
      </c>
      <c r="B96" s="543"/>
      <c r="C96" s="571"/>
      <c r="D96" s="543"/>
      <c r="E96" s="543"/>
      <c r="F96" s="543"/>
      <c r="G96" s="543"/>
      <c r="H96" s="543"/>
      <c r="I96" s="543"/>
      <c r="J96" s="238"/>
      <c r="K96" s="238"/>
      <c r="L96" s="238"/>
      <c r="M96" s="238"/>
      <c r="N96" s="238"/>
      <c r="O96" s="238"/>
      <c r="P96" s="238"/>
      <c r="Q96" s="238"/>
      <c r="R96" s="238"/>
      <c r="S96" s="238"/>
      <c r="T96" s="238"/>
      <c r="U96" s="238"/>
      <c r="V96" s="238"/>
      <c r="W96" s="238"/>
      <c r="X96" s="238"/>
    </row>
    <row r="97" spans="1:24" s="12" customFormat="1" ht="409.5" x14ac:dyDescent="0.25">
      <c r="A97" s="543" t="s">
        <v>593</v>
      </c>
      <c r="B97" s="543"/>
      <c r="C97" s="571"/>
      <c r="D97" s="543"/>
      <c r="E97" s="543"/>
      <c r="F97" s="543"/>
      <c r="G97" s="543"/>
      <c r="H97" s="543"/>
      <c r="I97" s="543"/>
      <c r="J97" s="238"/>
      <c r="K97" s="238"/>
      <c r="L97" s="238"/>
      <c r="M97" s="238"/>
      <c r="N97" s="238"/>
      <c r="O97" s="238"/>
      <c r="P97" s="238"/>
      <c r="Q97" s="238"/>
      <c r="R97" s="238"/>
      <c r="S97" s="238"/>
      <c r="T97" s="238"/>
      <c r="U97" s="238"/>
      <c r="V97" s="238"/>
      <c r="W97" s="238"/>
      <c r="X97" s="238"/>
    </row>
    <row r="98" spans="1:24" s="12" customFormat="1" ht="18" customHeight="1" x14ac:dyDescent="0.25">
      <c r="A98" s="543" t="s">
        <v>594</v>
      </c>
      <c r="B98" s="543"/>
      <c r="C98" s="571"/>
      <c r="D98" s="543"/>
      <c r="E98" s="543"/>
      <c r="F98" s="543"/>
      <c r="G98" s="543"/>
      <c r="H98" s="543"/>
      <c r="I98" s="543"/>
      <c r="J98" s="238"/>
      <c r="K98" s="238"/>
      <c r="L98" s="238"/>
      <c r="M98" s="238"/>
      <c r="N98" s="238"/>
      <c r="O98" s="238"/>
      <c r="P98" s="238"/>
      <c r="Q98" s="238"/>
      <c r="R98" s="238"/>
      <c r="S98" s="238"/>
      <c r="T98" s="238"/>
      <c r="U98" s="238"/>
      <c r="V98" s="238"/>
      <c r="W98" s="238"/>
      <c r="X98" s="238"/>
    </row>
    <row r="99" spans="1:24" s="12" customFormat="1" ht="409.5" x14ac:dyDescent="0.25">
      <c r="A99" s="543" t="s">
        <v>595</v>
      </c>
      <c r="B99" s="543"/>
      <c r="C99" s="571"/>
      <c r="D99" s="543"/>
      <c r="E99" s="543"/>
      <c r="F99" s="543"/>
      <c r="G99" s="543"/>
      <c r="H99" s="543"/>
      <c r="I99" s="543"/>
      <c r="J99" s="238"/>
      <c r="K99" s="238"/>
      <c r="L99" s="238"/>
      <c r="M99" s="238"/>
      <c r="N99" s="238"/>
      <c r="O99" s="238"/>
      <c r="P99" s="238"/>
      <c r="Q99" s="238"/>
      <c r="R99" s="238"/>
      <c r="S99" s="238"/>
      <c r="T99" s="238"/>
      <c r="U99" s="238"/>
      <c r="V99" s="238"/>
      <c r="W99" s="238"/>
      <c r="X99" s="238"/>
    </row>
    <row r="100" spans="1:24" s="12" customFormat="1" ht="207.75" x14ac:dyDescent="0.25">
      <c r="A100" s="543" t="s">
        <v>596</v>
      </c>
      <c r="B100" s="543"/>
      <c r="C100" s="571"/>
      <c r="D100" s="543"/>
      <c r="E100" s="543"/>
      <c r="F100" s="543"/>
      <c r="G100" s="543"/>
      <c r="H100" s="543"/>
      <c r="I100" s="543"/>
      <c r="J100" s="238"/>
      <c r="K100" s="238"/>
      <c r="L100" s="238"/>
      <c r="M100" s="238"/>
      <c r="N100" s="238"/>
      <c r="O100" s="238"/>
      <c r="P100" s="238"/>
      <c r="Q100" s="238"/>
      <c r="R100" s="238"/>
      <c r="S100" s="238"/>
      <c r="T100" s="238"/>
      <c r="U100" s="238"/>
      <c r="V100" s="238"/>
      <c r="W100" s="238"/>
      <c r="X100" s="238"/>
    </row>
    <row r="101" spans="1:24" s="12" customFormat="1" x14ac:dyDescent="0.25">
      <c r="A101" s="544" t="s">
        <v>597</v>
      </c>
      <c r="B101" s="544"/>
      <c r="C101" s="571"/>
      <c r="D101" s="544"/>
      <c r="E101" s="544"/>
      <c r="F101" s="544"/>
      <c r="G101" s="544"/>
      <c r="H101" s="544"/>
      <c r="I101" s="544"/>
      <c r="J101" s="238"/>
      <c r="K101" s="238"/>
      <c r="L101" s="238"/>
      <c r="M101" s="238"/>
      <c r="N101" s="238"/>
      <c r="O101" s="238"/>
      <c r="P101" s="238"/>
      <c r="Q101" s="238"/>
      <c r="R101" s="238"/>
      <c r="S101" s="238"/>
      <c r="T101" s="238"/>
      <c r="U101" s="238"/>
      <c r="V101" s="238"/>
      <c r="W101" s="238"/>
      <c r="X101" s="238"/>
    </row>
    <row r="102" spans="1:24" s="12" customFormat="1" ht="409.5" x14ac:dyDescent="0.25">
      <c r="A102" s="543" t="s">
        <v>598</v>
      </c>
      <c r="B102" s="543"/>
      <c r="C102" s="571"/>
      <c r="D102" s="543"/>
      <c r="E102" s="543"/>
      <c r="F102" s="543"/>
      <c r="G102" s="543"/>
      <c r="H102" s="543"/>
      <c r="I102" s="543"/>
      <c r="J102" s="238"/>
      <c r="K102" s="238"/>
      <c r="L102" s="238"/>
      <c r="M102" s="238"/>
      <c r="N102" s="238"/>
      <c r="O102" s="238"/>
      <c r="P102" s="238"/>
      <c r="Q102" s="238"/>
      <c r="R102" s="238"/>
      <c r="S102" s="238"/>
      <c r="T102" s="238"/>
      <c r="U102" s="238"/>
      <c r="V102" s="238"/>
      <c r="W102" s="238"/>
      <c r="X102" s="238"/>
    </row>
    <row r="103" spans="1:24" s="12" customFormat="1" ht="409.5" x14ac:dyDescent="0.25">
      <c r="A103" s="543" t="s">
        <v>599</v>
      </c>
      <c r="B103" s="543"/>
      <c r="C103" s="571"/>
      <c r="D103" s="543"/>
      <c r="E103" s="543"/>
      <c r="F103" s="543"/>
      <c r="G103" s="543"/>
      <c r="H103" s="543"/>
      <c r="I103" s="543"/>
      <c r="J103" s="238"/>
      <c r="K103" s="238"/>
      <c r="L103" s="238"/>
      <c r="M103" s="238"/>
      <c r="N103" s="238"/>
      <c r="O103" s="238"/>
      <c r="P103" s="238"/>
      <c r="Q103" s="238"/>
      <c r="R103" s="238"/>
      <c r="S103" s="238"/>
      <c r="T103" s="238"/>
      <c r="U103" s="238"/>
      <c r="V103" s="238"/>
      <c r="W103" s="238"/>
      <c r="X103" s="238"/>
    </row>
    <row r="104" spans="1:24" s="12" customFormat="1" ht="365.25" x14ac:dyDescent="0.25">
      <c r="A104" s="543" t="s">
        <v>600</v>
      </c>
      <c r="B104" s="543"/>
      <c r="C104" s="571"/>
      <c r="D104" s="543"/>
      <c r="E104" s="543"/>
      <c r="F104" s="543"/>
      <c r="G104" s="543"/>
      <c r="H104" s="543"/>
      <c r="I104" s="543"/>
      <c r="J104" s="238"/>
      <c r="K104" s="238"/>
      <c r="L104" s="238"/>
      <c r="M104" s="238"/>
      <c r="N104" s="238"/>
      <c r="O104" s="238"/>
      <c r="P104" s="238"/>
      <c r="Q104" s="238"/>
      <c r="R104" s="238"/>
      <c r="S104" s="238"/>
      <c r="T104" s="238"/>
      <c r="U104" s="238"/>
      <c r="V104" s="238"/>
      <c r="W104" s="238"/>
      <c r="X104" s="238"/>
    </row>
    <row r="105" spans="1:24" ht="270.75" x14ac:dyDescent="0.25">
      <c r="A105" s="156" t="s">
        <v>601</v>
      </c>
      <c r="B105" s="156"/>
      <c r="C105" s="570"/>
      <c r="D105" s="156"/>
      <c r="E105" s="156"/>
      <c r="F105" s="156"/>
      <c r="G105" s="156"/>
      <c r="H105" s="156"/>
      <c r="I105" s="156"/>
      <c r="J105" s="32"/>
      <c r="K105" s="32"/>
      <c r="L105" s="32"/>
      <c r="M105" s="48"/>
      <c r="N105" s="48"/>
      <c r="O105" s="32"/>
      <c r="P105" s="32"/>
      <c r="Q105" s="32"/>
      <c r="R105" s="48"/>
      <c r="S105" s="48"/>
      <c r="T105" s="32"/>
      <c r="U105" s="32"/>
      <c r="V105" s="32"/>
      <c r="W105" s="48"/>
      <c r="X105" s="48"/>
    </row>
  </sheetData>
  <sheetProtection formatColumns="0" formatRows="0"/>
  <pageMargins left="0.23622047244094491" right="0.23622047244094491" top="0.74803149606299213" bottom="0.74803149606299213" header="0.31496062992125984" footer="0.31496062992125984"/>
  <pageSetup paperSize="9" scale="52" fitToHeight="0" orientation="landscape" r:id="rId1"/>
  <headerFooter>
    <oddHeader xml:space="preserve">&amp;C&amp;"Times New Roman,Bold"&amp;14Naturālie rādītāji&amp;R&amp;"Times New Roman,Regular"&amp;14 5.pielikums
</oddHeader>
    <oddFooter>&amp;C&amp;"Times New Roman,Regular"&amp;12&amp;F &amp;A&amp;R&amp;"Times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43"/>
  <sheetViews>
    <sheetView view="pageBreakPreview" zoomScaleNormal="100" zoomScaleSheetLayoutView="100" workbookViewId="0">
      <pane ySplit="1" topLeftCell="A2" activePane="bottomLeft" state="frozen"/>
      <selection pane="bottomLeft" activeCell="D38" sqref="D38"/>
    </sheetView>
  </sheetViews>
  <sheetFormatPr defaultColWidth="7.7109375" defaultRowHeight="15.75" outlineLevelCol="1" x14ac:dyDescent="0.25"/>
  <cols>
    <col min="1" max="1" width="14.28515625" style="239" customWidth="1"/>
    <col min="2" max="2" width="34.42578125" style="239" customWidth="1"/>
    <col min="3" max="3" width="16.28515625" style="470" customWidth="1"/>
    <col min="4" max="4" width="14.85546875" style="470" customWidth="1"/>
    <col min="5" max="5" width="15.85546875" style="239" customWidth="1"/>
    <col min="6" max="6" width="15.85546875" style="239" hidden="1" customWidth="1" outlineLevel="1"/>
    <col min="7" max="7" width="19.42578125" style="239" hidden="1" customWidth="1" outlineLevel="1"/>
    <col min="8" max="8" width="17.85546875" style="239" hidden="1" customWidth="1" outlineLevel="1"/>
    <col min="9" max="9" width="34.42578125" style="239" hidden="1" customWidth="1" outlineLevel="1"/>
    <col min="10" max="10" width="15.7109375" style="239" customWidth="1" collapsed="1"/>
    <col min="11" max="11" width="17.28515625" style="470" hidden="1" customWidth="1" outlineLevel="1"/>
    <col min="12" max="12" width="18.28515625" style="239" hidden="1" customWidth="1" outlineLevel="1"/>
    <col min="13" max="13" width="18.5703125" style="239" hidden="1" customWidth="1" outlineLevel="1"/>
    <col min="14" max="14" width="34.42578125" style="239" hidden="1" customWidth="1" outlineLevel="1"/>
    <col min="15" max="15" width="20.28515625" style="239" customWidth="1" collapsed="1"/>
    <col min="16" max="16" width="17.42578125" style="239" hidden="1" customWidth="1" outlineLevel="1"/>
    <col min="17" max="17" width="18" style="239" hidden="1" customWidth="1" outlineLevel="1"/>
    <col min="18" max="18" width="17.42578125" style="239" hidden="1" customWidth="1" outlineLevel="1"/>
    <col min="19" max="19" width="34.42578125" style="239" hidden="1" customWidth="1" outlineLevel="1"/>
    <col min="20" max="20" width="17.5703125" style="239" customWidth="1" collapsed="1"/>
    <col min="21" max="21" width="17.28515625" style="239" hidden="1" customWidth="1" outlineLevel="1"/>
    <col min="22" max="22" width="18.5703125" style="239" hidden="1" customWidth="1" outlineLevel="1"/>
    <col min="23" max="23" width="17.28515625" style="239" hidden="1" customWidth="1" outlineLevel="1"/>
    <col min="24" max="24" width="34.42578125" style="239" hidden="1" customWidth="1" outlineLevel="1"/>
    <col min="25" max="25" width="34.42578125" style="239" customWidth="1" collapsed="1"/>
    <col min="26" max="229" width="9.140625" style="239" customWidth="1"/>
    <col min="230" max="230" width="3.140625" style="239" customWidth="1"/>
    <col min="231" max="231" width="4.42578125" style="239" customWidth="1"/>
    <col min="232" max="232" width="26" style="239" customWidth="1"/>
    <col min="233" max="233" width="8.7109375" style="239" customWidth="1"/>
    <col min="234" max="235" width="7.7109375" style="239"/>
    <col min="236" max="236" width="8.7109375" style="239" customWidth="1"/>
    <col min="237" max="238" width="7.7109375" style="239"/>
    <col min="239" max="239" width="8.7109375" style="239" customWidth="1"/>
    <col min="240" max="16384" width="7.7109375" style="239"/>
  </cols>
  <sheetData>
    <row r="1" spans="1:24" ht="78.75" x14ac:dyDescent="0.25">
      <c r="A1" s="79" t="s">
        <v>0</v>
      </c>
      <c r="B1" s="172" t="s">
        <v>237</v>
      </c>
      <c r="C1" s="466" t="s">
        <v>2</v>
      </c>
      <c r="D1" s="466" t="s">
        <v>3</v>
      </c>
      <c r="E1" s="24" t="s">
        <v>4</v>
      </c>
      <c r="F1" s="24" t="s">
        <v>5</v>
      </c>
      <c r="G1" s="25" t="s">
        <v>6</v>
      </c>
      <c r="H1" s="26" t="s">
        <v>7</v>
      </c>
      <c r="I1" s="24" t="s">
        <v>8</v>
      </c>
      <c r="J1" s="24" t="s">
        <v>9</v>
      </c>
      <c r="K1" s="466" t="s">
        <v>10</v>
      </c>
      <c r="L1" s="25" t="s">
        <v>6</v>
      </c>
      <c r="M1" s="26" t="s">
        <v>7</v>
      </c>
      <c r="N1" s="24" t="s">
        <v>8</v>
      </c>
      <c r="O1" s="24" t="s">
        <v>11</v>
      </c>
      <c r="P1" s="24" t="s">
        <v>12</v>
      </c>
      <c r="Q1" s="25" t="s">
        <v>6</v>
      </c>
      <c r="R1" s="26" t="s">
        <v>7</v>
      </c>
      <c r="S1" s="24" t="s">
        <v>8</v>
      </c>
      <c r="T1" s="24" t="s">
        <v>13</v>
      </c>
      <c r="U1" s="24" t="s">
        <v>14</v>
      </c>
      <c r="V1" s="25" t="s">
        <v>6</v>
      </c>
      <c r="W1" s="26" t="s">
        <v>7</v>
      </c>
      <c r="X1" s="24" t="s">
        <v>8</v>
      </c>
    </row>
    <row r="2" spans="1:24" x14ac:dyDescent="0.25">
      <c r="A2" s="79">
        <v>1</v>
      </c>
      <c r="B2" s="172">
        <v>2</v>
      </c>
      <c r="C2" s="466">
        <v>3</v>
      </c>
      <c r="D2" s="466">
        <v>4</v>
      </c>
      <c r="E2" s="24">
        <v>5</v>
      </c>
      <c r="F2" s="24">
        <v>6</v>
      </c>
      <c r="G2" s="25">
        <v>7</v>
      </c>
      <c r="H2" s="27">
        <v>8</v>
      </c>
      <c r="I2" s="24"/>
      <c r="J2" s="24">
        <v>10</v>
      </c>
      <c r="K2" s="466">
        <v>11</v>
      </c>
      <c r="L2" s="25">
        <v>12</v>
      </c>
      <c r="M2" s="27">
        <v>13</v>
      </c>
      <c r="N2" s="24"/>
      <c r="O2" s="24">
        <v>15</v>
      </c>
      <c r="P2" s="24">
        <v>16</v>
      </c>
      <c r="Q2" s="25">
        <v>17</v>
      </c>
      <c r="R2" s="27">
        <v>18</v>
      </c>
      <c r="S2" s="24"/>
      <c r="T2" s="24">
        <v>20</v>
      </c>
      <c r="U2" s="24">
        <v>21</v>
      </c>
      <c r="V2" s="25">
        <v>22</v>
      </c>
      <c r="W2" s="27">
        <v>23</v>
      </c>
      <c r="X2" s="24"/>
    </row>
    <row r="3" spans="1:24" ht="15.75" customHeight="1" x14ac:dyDescent="0.25">
      <c r="A3" s="159">
        <v>51000</v>
      </c>
      <c r="B3" s="153" t="s">
        <v>602</v>
      </c>
      <c r="C3" s="467">
        <v>314600</v>
      </c>
      <c r="D3" s="467">
        <f>D4+D5+D6+D7</f>
        <v>0</v>
      </c>
      <c r="E3" s="93">
        <f>E4+E5+E6+E7</f>
        <v>0</v>
      </c>
      <c r="F3" s="93">
        <f>F4+F5+F6+F7</f>
        <v>0</v>
      </c>
      <c r="G3" s="96">
        <f>F3-E3</f>
        <v>0</v>
      </c>
      <c r="H3" s="97" t="str">
        <f>IFERROR(G3/ABS(E3), "-")</f>
        <v>-</v>
      </c>
      <c r="I3" s="807"/>
      <c r="J3" s="93">
        <f>J4+J5+J6+J7</f>
        <v>0</v>
      </c>
      <c r="K3" s="467">
        <f>K4+K5+K6+K7</f>
        <v>0</v>
      </c>
      <c r="L3" s="96">
        <f>K3-J3</f>
        <v>0</v>
      </c>
      <c r="M3" s="97" t="str">
        <f>IFERROR(L3/ABS(J3), "-")</f>
        <v>-</v>
      </c>
      <c r="N3" s="807"/>
      <c r="O3" s="93">
        <f>O4+O5+O6+O7</f>
        <v>0</v>
      </c>
      <c r="P3" s="93">
        <f>P4+P5+P6+P7</f>
        <v>0</v>
      </c>
      <c r="Q3" s="96">
        <f>P3-O3</f>
        <v>0</v>
      </c>
      <c r="R3" s="97" t="str">
        <f>IFERROR(Q3/ABS(O3), "-")</f>
        <v>-</v>
      </c>
      <c r="S3" s="807"/>
      <c r="T3" s="93">
        <f>T4+T5+T6+T7</f>
        <v>0</v>
      </c>
      <c r="U3" s="93">
        <f>U4+U5+U6+U7</f>
        <v>0</v>
      </c>
      <c r="V3" s="96">
        <f>U3-T3</f>
        <v>0</v>
      </c>
      <c r="W3" s="97" t="str">
        <f>IFERROR(V3/ABS(T3), "-")</f>
        <v>-</v>
      </c>
      <c r="X3" s="807"/>
    </row>
    <row r="4" spans="1:24" x14ac:dyDescent="0.25">
      <c r="A4" s="79">
        <v>51100</v>
      </c>
      <c r="B4" s="173" t="s">
        <v>603</v>
      </c>
      <c r="C4" s="464"/>
      <c r="D4" s="464"/>
      <c r="E4" s="174"/>
      <c r="F4" s="174"/>
      <c r="G4" s="175">
        <f t="shared" ref="G4:G38" si="0">F4-E4</f>
        <v>0</v>
      </c>
      <c r="H4" s="176" t="str">
        <f t="shared" ref="H4:H38" si="1">IFERROR(G4/ABS(E4), "-")</f>
        <v>-</v>
      </c>
      <c r="I4" s="808"/>
      <c r="J4" s="174"/>
      <c r="K4" s="464"/>
      <c r="L4" s="175">
        <f t="shared" ref="L4:L38" si="2">K4-J4</f>
        <v>0</v>
      </c>
      <c r="M4" s="176" t="str">
        <f t="shared" ref="M4:M38" si="3">IFERROR(L4/ABS(J4), "-")</f>
        <v>-</v>
      </c>
      <c r="N4" s="808"/>
      <c r="O4" s="174"/>
      <c r="P4" s="174"/>
      <c r="Q4" s="175">
        <f t="shared" ref="Q4:Q38" si="4">P4-O4</f>
        <v>0</v>
      </c>
      <c r="R4" s="176" t="str">
        <f t="shared" ref="R4:R38" si="5">IFERROR(Q4/ABS(O4), "-")</f>
        <v>-</v>
      </c>
      <c r="S4" s="808"/>
      <c r="T4" s="174"/>
      <c r="U4" s="174"/>
      <c r="V4" s="175">
        <f t="shared" ref="V4:V38" si="6">U4-T4</f>
        <v>0</v>
      </c>
      <c r="W4" s="176" t="str">
        <f t="shared" ref="W4:W38" si="7">IFERROR(V4/ABS(T4), "-")</f>
        <v>-</v>
      </c>
      <c r="X4" s="808"/>
    </row>
    <row r="5" spans="1:24" x14ac:dyDescent="0.25">
      <c r="A5" s="177">
        <v>51200</v>
      </c>
      <c r="B5" s="178" t="s">
        <v>604</v>
      </c>
      <c r="C5" s="464"/>
      <c r="D5" s="464"/>
      <c r="E5" s="174"/>
      <c r="F5" s="174"/>
      <c r="G5" s="175">
        <f t="shared" si="0"/>
        <v>0</v>
      </c>
      <c r="H5" s="176" t="str">
        <f t="shared" si="1"/>
        <v>-</v>
      </c>
      <c r="I5" s="808"/>
      <c r="J5" s="174"/>
      <c r="K5" s="464"/>
      <c r="L5" s="175">
        <f t="shared" si="2"/>
        <v>0</v>
      </c>
      <c r="M5" s="176" t="str">
        <f t="shared" si="3"/>
        <v>-</v>
      </c>
      <c r="N5" s="808"/>
      <c r="O5" s="174"/>
      <c r="P5" s="174"/>
      <c r="Q5" s="175">
        <f t="shared" si="4"/>
        <v>0</v>
      </c>
      <c r="R5" s="176" t="str">
        <f t="shared" si="5"/>
        <v>-</v>
      </c>
      <c r="S5" s="808"/>
      <c r="T5" s="174"/>
      <c r="U5" s="174"/>
      <c r="V5" s="175">
        <f t="shared" si="6"/>
        <v>0</v>
      </c>
      <c r="W5" s="176" t="str">
        <f t="shared" si="7"/>
        <v>-</v>
      </c>
      <c r="X5" s="808"/>
    </row>
    <row r="6" spans="1:24" ht="47.25" x14ac:dyDescent="0.25">
      <c r="A6" s="177">
        <v>51300</v>
      </c>
      <c r="B6" s="178" t="s">
        <v>605</v>
      </c>
      <c r="C6" s="464"/>
      <c r="D6" s="464"/>
      <c r="E6" s="174"/>
      <c r="F6" s="174"/>
      <c r="G6" s="175">
        <f t="shared" si="0"/>
        <v>0</v>
      </c>
      <c r="H6" s="176" t="str">
        <f t="shared" si="1"/>
        <v>-</v>
      </c>
      <c r="I6" s="808"/>
      <c r="J6" s="174"/>
      <c r="K6" s="464"/>
      <c r="L6" s="175">
        <f t="shared" si="2"/>
        <v>0</v>
      </c>
      <c r="M6" s="176" t="str">
        <f t="shared" si="3"/>
        <v>-</v>
      </c>
      <c r="N6" s="808"/>
      <c r="O6" s="174"/>
      <c r="P6" s="174"/>
      <c r="Q6" s="175">
        <f t="shared" si="4"/>
        <v>0</v>
      </c>
      <c r="R6" s="176" t="str">
        <f t="shared" si="5"/>
        <v>-</v>
      </c>
      <c r="S6" s="808"/>
      <c r="T6" s="174"/>
      <c r="U6" s="174"/>
      <c r="V6" s="175">
        <f t="shared" si="6"/>
        <v>0</v>
      </c>
      <c r="W6" s="176" t="str">
        <f t="shared" si="7"/>
        <v>-</v>
      </c>
      <c r="X6" s="808"/>
    </row>
    <row r="7" spans="1:24" x14ac:dyDescent="0.25">
      <c r="A7" s="177">
        <v>51400</v>
      </c>
      <c r="B7" s="178" t="s">
        <v>606</v>
      </c>
      <c r="C7" s="464"/>
      <c r="D7" s="464"/>
      <c r="E7" s="174"/>
      <c r="F7" s="174"/>
      <c r="G7" s="175">
        <f t="shared" si="0"/>
        <v>0</v>
      </c>
      <c r="H7" s="176" t="str">
        <f t="shared" si="1"/>
        <v>-</v>
      </c>
      <c r="I7" s="808"/>
      <c r="J7" s="174"/>
      <c r="K7" s="464"/>
      <c r="L7" s="175">
        <f t="shared" si="2"/>
        <v>0</v>
      </c>
      <c r="M7" s="176" t="str">
        <f t="shared" si="3"/>
        <v>-</v>
      </c>
      <c r="N7" s="808"/>
      <c r="O7" s="174"/>
      <c r="P7" s="174"/>
      <c r="Q7" s="175">
        <f t="shared" si="4"/>
        <v>0</v>
      </c>
      <c r="R7" s="176" t="str">
        <f t="shared" si="5"/>
        <v>-</v>
      </c>
      <c r="S7" s="808"/>
      <c r="T7" s="174"/>
      <c r="U7" s="174"/>
      <c r="V7" s="175">
        <f t="shared" si="6"/>
        <v>0</v>
      </c>
      <c r="W7" s="176" t="str">
        <f t="shared" si="7"/>
        <v>-</v>
      </c>
      <c r="X7" s="808"/>
    </row>
    <row r="8" spans="1:24" ht="15.75" customHeight="1" x14ac:dyDescent="0.25">
      <c r="A8" s="159">
        <v>52000</v>
      </c>
      <c r="B8" s="153" t="s">
        <v>607</v>
      </c>
      <c r="C8" s="467"/>
      <c r="D8" s="467">
        <v>159130</v>
      </c>
      <c r="E8" s="93">
        <f ca="1">SUM(OFFSET(E16,-1,0):OFFSET(E8,1,0))</f>
        <v>0</v>
      </c>
      <c r="F8" s="93">
        <f ca="1">SUM(OFFSET(F16,-1,0):OFFSET(F8,1,0))</f>
        <v>0</v>
      </c>
      <c r="G8" s="96">
        <f t="shared" ca="1" si="0"/>
        <v>0</v>
      </c>
      <c r="H8" s="97" t="str">
        <f t="shared" ca="1" si="1"/>
        <v>-</v>
      </c>
      <c r="I8" s="809"/>
      <c r="J8" s="93">
        <v>159130</v>
      </c>
      <c r="K8" s="467">
        <f ca="1">SUM(OFFSET(K16,-1,0):OFFSET(K8,1,0))</f>
        <v>0</v>
      </c>
      <c r="L8" s="96">
        <f t="shared" ca="1" si="2"/>
        <v>-159130</v>
      </c>
      <c r="M8" s="97">
        <f t="shared" ca="1" si="3"/>
        <v>-1</v>
      </c>
      <c r="N8" s="809"/>
      <c r="O8" s="93">
        <v>159130</v>
      </c>
      <c r="P8" s="93">
        <f ca="1">SUM(OFFSET(P16,-1,0):OFFSET(P8,1,0))</f>
        <v>0</v>
      </c>
      <c r="Q8" s="96">
        <f t="shared" ca="1" si="4"/>
        <v>-159130</v>
      </c>
      <c r="R8" s="97">
        <f t="shared" ca="1" si="5"/>
        <v>-1</v>
      </c>
      <c r="S8" s="809"/>
      <c r="T8" s="93">
        <v>159130</v>
      </c>
      <c r="U8" s="93">
        <f ca="1">SUM(OFFSET(U16,-1,0):OFFSET(U8,1,0))</f>
        <v>0</v>
      </c>
      <c r="V8" s="96">
        <f t="shared" ca="1" si="6"/>
        <v>-159130</v>
      </c>
      <c r="W8" s="97">
        <f t="shared" ca="1" si="7"/>
        <v>-1</v>
      </c>
      <c r="X8" s="809"/>
    </row>
    <row r="9" spans="1:24" x14ac:dyDescent="0.25">
      <c r="A9" s="179">
        <v>52100</v>
      </c>
      <c r="B9" s="180" t="s">
        <v>608</v>
      </c>
      <c r="C9" s="534"/>
      <c r="D9" s="534"/>
      <c r="E9" s="81"/>
      <c r="F9" s="81"/>
      <c r="G9" s="82">
        <f t="shared" si="0"/>
        <v>0</v>
      </c>
      <c r="H9" s="28" t="str">
        <f t="shared" si="1"/>
        <v>-</v>
      </c>
      <c r="I9" s="810"/>
      <c r="J9" s="81"/>
      <c r="K9" s="468">
        <f>F9</f>
        <v>0</v>
      </c>
      <c r="L9" s="82">
        <f t="shared" si="2"/>
        <v>0</v>
      </c>
      <c r="M9" s="28" t="str">
        <f t="shared" si="3"/>
        <v>-</v>
      </c>
      <c r="N9" s="810"/>
      <c r="O9" s="81"/>
      <c r="P9" s="81"/>
      <c r="Q9" s="82">
        <f t="shared" si="4"/>
        <v>0</v>
      </c>
      <c r="R9" s="28" t="str">
        <f t="shared" si="5"/>
        <v>-</v>
      </c>
      <c r="S9" s="810"/>
      <c r="T9" s="81"/>
      <c r="U9" s="81"/>
      <c r="V9" s="82">
        <f t="shared" si="6"/>
        <v>0</v>
      </c>
      <c r="W9" s="28" t="str">
        <f t="shared" si="7"/>
        <v>-</v>
      </c>
      <c r="X9" s="810"/>
    </row>
    <row r="10" spans="1:24" x14ac:dyDescent="0.25">
      <c r="A10" s="179">
        <v>52200</v>
      </c>
      <c r="B10" s="180" t="s">
        <v>609</v>
      </c>
      <c r="C10" s="534"/>
      <c r="D10" s="534"/>
      <c r="E10" s="81"/>
      <c r="F10" s="81"/>
      <c r="G10" s="82">
        <f t="shared" si="0"/>
        <v>0</v>
      </c>
      <c r="H10" s="28" t="str">
        <f t="shared" si="1"/>
        <v>-</v>
      </c>
      <c r="I10" s="810"/>
      <c r="J10" s="81"/>
      <c r="K10" s="468">
        <f>F10</f>
        <v>0</v>
      </c>
      <c r="L10" s="82">
        <f t="shared" si="2"/>
        <v>0</v>
      </c>
      <c r="M10" s="28" t="str">
        <f t="shared" si="3"/>
        <v>-</v>
      </c>
      <c r="N10" s="810"/>
      <c r="O10" s="81"/>
      <c r="P10" s="81"/>
      <c r="Q10" s="82">
        <f t="shared" si="4"/>
        <v>0</v>
      </c>
      <c r="R10" s="28" t="str">
        <f t="shared" si="5"/>
        <v>-</v>
      </c>
      <c r="S10" s="810"/>
      <c r="T10" s="81"/>
      <c r="U10" s="81"/>
      <c r="V10" s="82">
        <f t="shared" si="6"/>
        <v>0</v>
      </c>
      <c r="W10" s="28" t="str">
        <f t="shared" si="7"/>
        <v>-</v>
      </c>
      <c r="X10" s="810"/>
    </row>
    <row r="11" spans="1:24" x14ac:dyDescent="0.25">
      <c r="A11" s="179">
        <v>52300</v>
      </c>
      <c r="B11" s="180" t="s">
        <v>610</v>
      </c>
      <c r="C11" s="534"/>
      <c r="D11" s="534"/>
      <c r="E11" s="81"/>
      <c r="F11" s="81"/>
      <c r="G11" s="82">
        <f t="shared" si="0"/>
        <v>0</v>
      </c>
      <c r="H11" s="28" t="str">
        <f t="shared" si="1"/>
        <v>-</v>
      </c>
      <c r="I11" s="810"/>
      <c r="J11" s="81"/>
      <c r="K11" s="468"/>
      <c r="L11" s="82">
        <f t="shared" si="2"/>
        <v>0</v>
      </c>
      <c r="M11" s="28" t="str">
        <f t="shared" si="3"/>
        <v>-</v>
      </c>
      <c r="N11" s="810"/>
      <c r="O11" s="81"/>
      <c r="P11" s="81"/>
      <c r="Q11" s="82">
        <f t="shared" si="4"/>
        <v>0</v>
      </c>
      <c r="R11" s="28" t="str">
        <f t="shared" si="5"/>
        <v>-</v>
      </c>
      <c r="S11" s="810"/>
      <c r="T11" s="81"/>
      <c r="U11" s="81"/>
      <c r="V11" s="82">
        <f t="shared" si="6"/>
        <v>0</v>
      </c>
      <c r="W11" s="28" t="str">
        <f t="shared" si="7"/>
        <v>-</v>
      </c>
      <c r="X11" s="810"/>
    </row>
    <row r="12" spans="1:24" x14ac:dyDescent="0.25">
      <c r="A12" s="179">
        <v>52400</v>
      </c>
      <c r="B12" s="180" t="s">
        <v>611</v>
      </c>
      <c r="C12" s="534"/>
      <c r="D12" s="534"/>
      <c r="E12" s="81"/>
      <c r="F12" s="81"/>
      <c r="G12" s="82">
        <f t="shared" si="0"/>
        <v>0</v>
      </c>
      <c r="H12" s="28" t="str">
        <f t="shared" si="1"/>
        <v>-</v>
      </c>
      <c r="I12" s="810"/>
      <c r="J12" s="81"/>
      <c r="K12" s="468"/>
      <c r="L12" s="82">
        <f t="shared" si="2"/>
        <v>0</v>
      </c>
      <c r="M12" s="28" t="str">
        <f t="shared" si="3"/>
        <v>-</v>
      </c>
      <c r="N12" s="810"/>
      <c r="O12" s="81"/>
      <c r="P12" s="81"/>
      <c r="Q12" s="82">
        <f t="shared" si="4"/>
        <v>0</v>
      </c>
      <c r="R12" s="28" t="str">
        <f t="shared" si="5"/>
        <v>-</v>
      </c>
      <c r="S12" s="810"/>
      <c r="T12" s="81"/>
      <c r="U12" s="81"/>
      <c r="V12" s="82">
        <f t="shared" si="6"/>
        <v>0</v>
      </c>
      <c r="W12" s="28" t="str">
        <f t="shared" si="7"/>
        <v>-</v>
      </c>
      <c r="X12" s="810"/>
    </row>
    <row r="13" spans="1:24" x14ac:dyDescent="0.25">
      <c r="A13" s="179">
        <v>52500</v>
      </c>
      <c r="B13" s="180" t="s">
        <v>612</v>
      </c>
      <c r="C13" s="534"/>
      <c r="D13" s="534"/>
      <c r="E13" s="81"/>
      <c r="F13" s="81"/>
      <c r="G13" s="82">
        <f t="shared" si="0"/>
        <v>0</v>
      </c>
      <c r="H13" s="28" t="str">
        <f t="shared" si="1"/>
        <v>-</v>
      </c>
      <c r="I13" s="810"/>
      <c r="J13" s="81"/>
      <c r="K13" s="468"/>
      <c r="L13" s="82">
        <f t="shared" si="2"/>
        <v>0</v>
      </c>
      <c r="M13" s="28" t="str">
        <f t="shared" si="3"/>
        <v>-</v>
      </c>
      <c r="N13" s="810"/>
      <c r="O13" s="81"/>
      <c r="P13" s="81"/>
      <c r="Q13" s="82">
        <f t="shared" si="4"/>
        <v>0</v>
      </c>
      <c r="R13" s="28" t="str">
        <f t="shared" si="5"/>
        <v>-</v>
      </c>
      <c r="S13" s="810"/>
      <c r="T13" s="81"/>
      <c r="U13" s="81"/>
      <c r="V13" s="82">
        <f t="shared" si="6"/>
        <v>0</v>
      </c>
      <c r="W13" s="28" t="str">
        <f t="shared" si="7"/>
        <v>-</v>
      </c>
      <c r="X13" s="810"/>
    </row>
    <row r="14" spans="1:24" x14ac:dyDescent="0.25">
      <c r="A14" s="179">
        <v>52600</v>
      </c>
      <c r="B14" s="180" t="s">
        <v>613</v>
      </c>
      <c r="C14" s="534"/>
      <c r="D14" s="534"/>
      <c r="E14" s="81"/>
      <c r="F14" s="81"/>
      <c r="G14" s="82">
        <f t="shared" si="0"/>
        <v>0</v>
      </c>
      <c r="H14" s="28" t="str">
        <f t="shared" si="1"/>
        <v>-</v>
      </c>
      <c r="I14" s="810"/>
      <c r="J14" s="81"/>
      <c r="K14" s="468"/>
      <c r="L14" s="82">
        <f t="shared" si="2"/>
        <v>0</v>
      </c>
      <c r="M14" s="28" t="str">
        <f t="shared" si="3"/>
        <v>-</v>
      </c>
      <c r="N14" s="810"/>
      <c r="O14" s="81"/>
      <c r="P14" s="81"/>
      <c r="Q14" s="82">
        <f t="shared" si="4"/>
        <v>0</v>
      </c>
      <c r="R14" s="28" t="str">
        <f t="shared" si="5"/>
        <v>-</v>
      </c>
      <c r="S14" s="810"/>
      <c r="T14" s="81"/>
      <c r="U14" s="81"/>
      <c r="V14" s="82">
        <f t="shared" si="6"/>
        <v>0</v>
      </c>
      <c r="W14" s="28" t="str">
        <f t="shared" si="7"/>
        <v>-</v>
      </c>
      <c r="X14" s="810"/>
    </row>
    <row r="15" spans="1:24" x14ac:dyDescent="0.25">
      <c r="A15" s="182">
        <v>52700</v>
      </c>
      <c r="B15" s="183" t="s">
        <v>614</v>
      </c>
      <c r="C15" s="534"/>
      <c r="D15" s="534"/>
      <c r="E15" s="81"/>
      <c r="F15" s="81"/>
      <c r="G15" s="82">
        <f t="shared" si="0"/>
        <v>0</v>
      </c>
      <c r="H15" s="28" t="str">
        <f t="shared" si="1"/>
        <v>-</v>
      </c>
      <c r="I15" s="811"/>
      <c r="J15" s="81"/>
      <c r="K15" s="468"/>
      <c r="L15" s="82">
        <f t="shared" si="2"/>
        <v>0</v>
      </c>
      <c r="M15" s="28" t="str">
        <f t="shared" si="3"/>
        <v>-</v>
      </c>
      <c r="N15" s="811"/>
      <c r="O15" s="81"/>
      <c r="P15" s="81"/>
      <c r="Q15" s="82">
        <f t="shared" si="4"/>
        <v>0</v>
      </c>
      <c r="R15" s="28" t="str">
        <f t="shared" si="5"/>
        <v>-</v>
      </c>
      <c r="S15" s="811"/>
      <c r="T15" s="81"/>
      <c r="U15" s="81"/>
      <c r="V15" s="82">
        <f t="shared" si="6"/>
        <v>0</v>
      </c>
      <c r="W15" s="28" t="str">
        <f t="shared" si="7"/>
        <v>-</v>
      </c>
      <c r="X15" s="811"/>
    </row>
    <row r="16" spans="1:24" ht="15.75" customHeight="1" x14ac:dyDescent="0.25">
      <c r="A16" s="159">
        <v>53000</v>
      </c>
      <c r="B16" s="153" t="s">
        <v>615</v>
      </c>
      <c r="C16" s="467">
        <v>1593751</v>
      </c>
      <c r="D16" s="467">
        <v>860000</v>
      </c>
      <c r="E16" s="93">
        <v>344725</v>
      </c>
      <c r="F16" s="93">
        <f>F17+F28+F29+F33+F36+F37</f>
        <v>0</v>
      </c>
      <c r="G16" s="96">
        <f t="shared" si="0"/>
        <v>-344725</v>
      </c>
      <c r="H16" s="97">
        <f t="shared" si="1"/>
        <v>-1</v>
      </c>
      <c r="I16" s="807"/>
      <c r="J16" s="93">
        <v>500000</v>
      </c>
      <c r="K16" s="467">
        <f>K17+K28+K29+K33+K36+K37</f>
        <v>0</v>
      </c>
      <c r="L16" s="96">
        <f t="shared" si="2"/>
        <v>-500000</v>
      </c>
      <c r="M16" s="97">
        <f t="shared" si="3"/>
        <v>-1</v>
      </c>
      <c r="N16" s="807"/>
      <c r="O16" s="93">
        <v>650000</v>
      </c>
      <c r="P16" s="93">
        <f>P17+P28+P29+P33+P36+P37</f>
        <v>0</v>
      </c>
      <c r="Q16" s="96">
        <f t="shared" si="4"/>
        <v>-650000</v>
      </c>
      <c r="R16" s="97">
        <f t="shared" si="5"/>
        <v>-1</v>
      </c>
      <c r="S16" s="807"/>
      <c r="T16" s="93">
        <v>860000</v>
      </c>
      <c r="U16" s="93">
        <f>U17+U28+U29+U33+U36+U37</f>
        <v>0</v>
      </c>
      <c r="V16" s="96">
        <f t="shared" si="6"/>
        <v>-860000</v>
      </c>
      <c r="W16" s="97">
        <f t="shared" si="7"/>
        <v>-1</v>
      </c>
      <c r="X16" s="807"/>
    </row>
    <row r="17" spans="1:24" x14ac:dyDescent="0.25">
      <c r="A17" s="184">
        <v>53100</v>
      </c>
      <c r="B17" s="185" t="s">
        <v>616</v>
      </c>
      <c r="C17" s="464"/>
      <c r="D17" s="464"/>
      <c r="E17" s="174"/>
      <c r="F17" s="174"/>
      <c r="G17" s="175">
        <f t="shared" si="0"/>
        <v>0</v>
      </c>
      <c r="H17" s="176" t="str">
        <f t="shared" si="1"/>
        <v>-</v>
      </c>
      <c r="I17" s="808"/>
      <c r="J17" s="174"/>
      <c r="K17" s="465">
        <f>K18+K27</f>
        <v>0</v>
      </c>
      <c r="L17" s="175">
        <f t="shared" si="2"/>
        <v>0</v>
      </c>
      <c r="M17" s="176" t="str">
        <f t="shared" si="3"/>
        <v>-</v>
      </c>
      <c r="N17" s="808"/>
      <c r="O17" s="174"/>
      <c r="P17" s="427"/>
      <c r="Q17" s="175">
        <f t="shared" si="4"/>
        <v>0</v>
      </c>
      <c r="R17" s="176" t="str">
        <f t="shared" si="5"/>
        <v>-</v>
      </c>
      <c r="S17" s="808"/>
      <c r="T17" s="174"/>
      <c r="U17" s="427">
        <f>U18+U27</f>
        <v>0</v>
      </c>
      <c r="V17" s="175">
        <f t="shared" si="6"/>
        <v>0</v>
      </c>
      <c r="W17" s="176" t="str">
        <f t="shared" si="7"/>
        <v>-</v>
      </c>
      <c r="X17" s="808"/>
    </row>
    <row r="18" spans="1:24" x14ac:dyDescent="0.25">
      <c r="A18" s="179">
        <v>53110</v>
      </c>
      <c r="B18" s="180" t="s">
        <v>617</v>
      </c>
      <c r="C18" s="464"/>
      <c r="D18" s="464"/>
      <c r="E18" s="174"/>
      <c r="F18" s="174"/>
      <c r="G18" s="175">
        <f t="shared" si="0"/>
        <v>0</v>
      </c>
      <c r="H18" s="176" t="str">
        <f t="shared" si="1"/>
        <v>-</v>
      </c>
      <c r="I18" s="808"/>
      <c r="J18" s="174"/>
      <c r="K18" s="464"/>
      <c r="L18" s="175">
        <f t="shared" si="2"/>
        <v>0</v>
      </c>
      <c r="M18" s="176" t="str">
        <f t="shared" si="3"/>
        <v>-</v>
      </c>
      <c r="N18" s="808"/>
      <c r="O18" s="174"/>
      <c r="P18" s="174"/>
      <c r="Q18" s="175">
        <f t="shared" si="4"/>
        <v>0</v>
      </c>
      <c r="R18" s="176" t="str">
        <f t="shared" si="5"/>
        <v>-</v>
      </c>
      <c r="S18" s="808"/>
      <c r="T18" s="174"/>
      <c r="U18" s="174">
        <v>0</v>
      </c>
      <c r="V18" s="175">
        <f t="shared" si="6"/>
        <v>0</v>
      </c>
      <c r="W18" s="176" t="str">
        <f t="shared" si="7"/>
        <v>-</v>
      </c>
      <c r="X18" s="808"/>
    </row>
    <row r="19" spans="1:24" x14ac:dyDescent="0.25">
      <c r="A19" s="179"/>
      <c r="B19" s="442" t="s">
        <v>618</v>
      </c>
      <c r="C19" s="464"/>
      <c r="D19" s="464"/>
      <c r="E19" s="174"/>
      <c r="F19" s="174"/>
      <c r="G19" s="175"/>
      <c r="H19" s="176"/>
      <c r="I19" s="808"/>
      <c r="J19" s="174"/>
      <c r="K19" s="464"/>
      <c r="L19" s="175"/>
      <c r="M19" s="176"/>
      <c r="N19" s="808"/>
      <c r="O19" s="174"/>
      <c r="P19" s="174"/>
      <c r="Q19" s="175"/>
      <c r="R19" s="176"/>
      <c r="S19" s="808"/>
      <c r="T19" s="174"/>
      <c r="U19" s="174"/>
      <c r="V19" s="175"/>
      <c r="W19" s="176"/>
      <c r="X19" s="808"/>
    </row>
    <row r="20" spans="1:24" x14ac:dyDescent="0.25">
      <c r="A20" s="179"/>
      <c r="B20" s="442" t="s">
        <v>619</v>
      </c>
      <c r="C20" s="464"/>
      <c r="D20" s="464"/>
      <c r="E20" s="174"/>
      <c r="F20" s="174"/>
      <c r="G20" s="175"/>
      <c r="H20" s="176"/>
      <c r="I20" s="808"/>
      <c r="J20" s="174"/>
      <c r="K20" s="464"/>
      <c r="L20" s="175"/>
      <c r="M20" s="176"/>
      <c r="N20" s="808"/>
      <c r="O20" s="174"/>
      <c r="P20" s="174"/>
      <c r="Q20" s="175"/>
      <c r="R20" s="176"/>
      <c r="S20" s="808"/>
      <c r="T20" s="174"/>
      <c r="U20" s="174"/>
      <c r="V20" s="175"/>
      <c r="W20" s="176"/>
      <c r="X20" s="808"/>
    </row>
    <row r="21" spans="1:24" ht="31.5" x14ac:dyDescent="0.25">
      <c r="A21" s="179"/>
      <c r="B21" s="443" t="s">
        <v>620</v>
      </c>
      <c r="C21" s="464"/>
      <c r="D21" s="464"/>
      <c r="E21" s="174"/>
      <c r="F21" s="174"/>
      <c r="G21" s="175"/>
      <c r="H21" s="176"/>
      <c r="I21" s="808"/>
      <c r="J21" s="174"/>
      <c r="K21" s="464"/>
      <c r="L21" s="175"/>
      <c r="M21" s="176"/>
      <c r="N21" s="808"/>
      <c r="O21" s="174"/>
      <c r="P21" s="174"/>
      <c r="Q21" s="175"/>
      <c r="R21" s="176"/>
      <c r="S21" s="808"/>
      <c r="T21" s="174"/>
      <c r="U21" s="174"/>
      <c r="V21" s="175"/>
      <c r="W21" s="176"/>
      <c r="X21" s="808"/>
    </row>
    <row r="22" spans="1:24" x14ac:dyDescent="0.25">
      <c r="A22" s="179"/>
      <c r="B22" s="442" t="s">
        <v>621</v>
      </c>
      <c r="C22" s="464"/>
      <c r="D22" s="464"/>
      <c r="E22" s="174"/>
      <c r="F22" s="174"/>
      <c r="G22" s="175"/>
      <c r="H22" s="176"/>
      <c r="I22" s="808"/>
      <c r="J22" s="174"/>
      <c r="K22" s="464"/>
      <c r="L22" s="175"/>
      <c r="M22" s="176"/>
      <c r="N22" s="808"/>
      <c r="O22" s="174"/>
      <c r="P22" s="174"/>
      <c r="Q22" s="175"/>
      <c r="R22" s="176"/>
      <c r="S22" s="808"/>
      <c r="T22" s="174"/>
      <c r="U22" s="174"/>
      <c r="V22" s="175"/>
      <c r="W22" s="176"/>
      <c r="X22" s="808"/>
    </row>
    <row r="23" spans="1:24" x14ac:dyDescent="0.25">
      <c r="A23" s="179"/>
      <c r="B23" s="443" t="s">
        <v>622</v>
      </c>
      <c r="C23" s="464"/>
      <c r="D23" s="464"/>
      <c r="E23" s="174"/>
      <c r="F23" s="174"/>
      <c r="G23" s="175"/>
      <c r="H23" s="176"/>
      <c r="I23" s="808"/>
      <c r="J23" s="174"/>
      <c r="K23" s="464"/>
      <c r="L23" s="175"/>
      <c r="M23" s="176"/>
      <c r="N23" s="808"/>
      <c r="O23" s="174"/>
      <c r="P23" s="174"/>
      <c r="Q23" s="175"/>
      <c r="R23" s="176"/>
      <c r="S23" s="808"/>
      <c r="T23" s="174"/>
      <c r="U23" s="174"/>
      <c r="V23" s="175"/>
      <c r="W23" s="176"/>
      <c r="X23" s="808"/>
    </row>
    <row r="24" spans="1:24" x14ac:dyDescent="0.25">
      <c r="A24" s="179"/>
      <c r="B24" s="442" t="s">
        <v>623</v>
      </c>
      <c r="C24" s="464"/>
      <c r="D24" s="464"/>
      <c r="E24" s="174"/>
      <c r="F24" s="174"/>
      <c r="G24" s="175"/>
      <c r="H24" s="176"/>
      <c r="I24" s="808"/>
      <c r="J24" s="174"/>
      <c r="K24" s="464"/>
      <c r="L24" s="175"/>
      <c r="M24" s="176"/>
      <c r="N24" s="808"/>
      <c r="O24" s="174"/>
      <c r="P24" s="174"/>
      <c r="Q24" s="175"/>
      <c r="R24" s="176"/>
      <c r="S24" s="808"/>
      <c r="T24" s="174"/>
      <c r="U24" s="174"/>
      <c r="V24" s="175"/>
      <c r="W24" s="176"/>
      <c r="X24" s="808"/>
    </row>
    <row r="25" spans="1:24" x14ac:dyDescent="0.25">
      <c r="A25" s="179"/>
      <c r="B25" s="442" t="s">
        <v>624</v>
      </c>
      <c r="C25" s="464"/>
      <c r="D25" s="464"/>
      <c r="E25" s="174"/>
      <c r="F25" s="174"/>
      <c r="G25" s="175"/>
      <c r="H25" s="176"/>
      <c r="I25" s="808"/>
      <c r="J25" s="174"/>
      <c r="K25" s="464"/>
      <c r="L25" s="175"/>
      <c r="M25" s="176"/>
      <c r="N25" s="808"/>
      <c r="O25" s="174"/>
      <c r="P25" s="174"/>
      <c r="Q25" s="175"/>
      <c r="R25" s="176"/>
      <c r="S25" s="808"/>
      <c r="T25" s="174"/>
      <c r="U25" s="174"/>
      <c r="V25" s="175"/>
      <c r="W25" s="176"/>
      <c r="X25" s="808"/>
    </row>
    <row r="26" spans="1:24" x14ac:dyDescent="0.25">
      <c r="A26" s="179"/>
      <c r="B26" s="442" t="s">
        <v>625</v>
      </c>
      <c r="C26" s="464"/>
      <c r="D26" s="464"/>
      <c r="E26" s="174"/>
      <c r="F26" s="174"/>
      <c r="G26" s="175"/>
      <c r="H26" s="176"/>
      <c r="I26" s="808"/>
      <c r="J26" s="174"/>
      <c r="K26" s="464"/>
      <c r="L26" s="175"/>
      <c r="M26" s="176"/>
      <c r="N26" s="808"/>
      <c r="O26" s="174"/>
      <c r="P26" s="174"/>
      <c r="Q26" s="175"/>
      <c r="R26" s="176"/>
      <c r="S26" s="808"/>
      <c r="T26" s="174"/>
      <c r="U26" s="174"/>
      <c r="V26" s="175"/>
      <c r="W26" s="176"/>
      <c r="X26" s="808"/>
    </row>
    <row r="27" spans="1:24" ht="31.5" x14ac:dyDescent="0.25">
      <c r="A27" s="179">
        <v>53120</v>
      </c>
      <c r="B27" s="441" t="s">
        <v>626</v>
      </c>
      <c r="C27" s="464"/>
      <c r="D27" s="464"/>
      <c r="E27" s="174"/>
      <c r="F27" s="174"/>
      <c r="G27" s="175">
        <f t="shared" si="0"/>
        <v>0</v>
      </c>
      <c r="H27" s="176" t="str">
        <f t="shared" si="1"/>
        <v>-</v>
      </c>
      <c r="I27" s="808"/>
      <c r="J27" s="174"/>
      <c r="K27" s="464"/>
      <c r="L27" s="175">
        <f t="shared" si="2"/>
        <v>0</v>
      </c>
      <c r="M27" s="176" t="str">
        <f t="shared" si="3"/>
        <v>-</v>
      </c>
      <c r="N27" s="808"/>
      <c r="O27" s="174"/>
      <c r="P27" s="174"/>
      <c r="Q27" s="175">
        <f t="shared" si="4"/>
        <v>0</v>
      </c>
      <c r="R27" s="176" t="str">
        <f t="shared" si="5"/>
        <v>-</v>
      </c>
      <c r="S27" s="808"/>
      <c r="T27" s="174"/>
      <c r="U27" s="174">
        <f>P27</f>
        <v>0</v>
      </c>
      <c r="V27" s="175">
        <f t="shared" si="6"/>
        <v>0</v>
      </c>
      <c r="W27" s="176" t="str">
        <f t="shared" si="7"/>
        <v>-</v>
      </c>
      <c r="X27" s="808"/>
    </row>
    <row r="28" spans="1:24" x14ac:dyDescent="0.25">
      <c r="A28" s="179">
        <v>53200</v>
      </c>
      <c r="B28" s="180" t="s">
        <v>627</v>
      </c>
      <c r="C28" s="464"/>
      <c r="D28" s="464"/>
      <c r="E28" s="174"/>
      <c r="F28" s="174"/>
      <c r="G28" s="175">
        <f t="shared" si="0"/>
        <v>0</v>
      </c>
      <c r="H28" s="176" t="str">
        <f t="shared" si="1"/>
        <v>-</v>
      </c>
      <c r="I28" s="808"/>
      <c r="J28" s="174"/>
      <c r="K28" s="464"/>
      <c r="L28" s="175">
        <f t="shared" si="2"/>
        <v>0</v>
      </c>
      <c r="M28" s="176" t="str">
        <f t="shared" si="3"/>
        <v>-</v>
      </c>
      <c r="N28" s="808"/>
      <c r="O28" s="174"/>
      <c r="P28" s="174"/>
      <c r="Q28" s="175">
        <f t="shared" si="4"/>
        <v>0</v>
      </c>
      <c r="R28" s="176" t="str">
        <f t="shared" si="5"/>
        <v>-</v>
      </c>
      <c r="S28" s="808"/>
      <c r="T28" s="174"/>
      <c r="U28" s="174"/>
      <c r="V28" s="175">
        <f t="shared" si="6"/>
        <v>0</v>
      </c>
      <c r="W28" s="176" t="str">
        <f t="shared" si="7"/>
        <v>-</v>
      </c>
      <c r="X28" s="808"/>
    </row>
    <row r="29" spans="1:24" x14ac:dyDescent="0.25">
      <c r="A29" s="179">
        <v>53300</v>
      </c>
      <c r="B29" s="180" t="s">
        <v>628</v>
      </c>
      <c r="C29" s="464"/>
      <c r="D29" s="464"/>
      <c r="E29" s="174"/>
      <c r="F29" s="174"/>
      <c r="G29" s="175">
        <f t="shared" si="0"/>
        <v>0</v>
      </c>
      <c r="H29" s="176" t="str">
        <f t="shared" si="1"/>
        <v>-</v>
      </c>
      <c r="I29" s="808"/>
      <c r="J29" s="174"/>
      <c r="K29" s="465">
        <f>K30+K32+K31</f>
        <v>0</v>
      </c>
      <c r="L29" s="175">
        <f t="shared" si="2"/>
        <v>0</v>
      </c>
      <c r="M29" s="176" t="str">
        <f t="shared" si="3"/>
        <v>-</v>
      </c>
      <c r="N29" s="808"/>
      <c r="O29" s="174"/>
      <c r="P29" s="427"/>
      <c r="Q29" s="175">
        <f t="shared" si="4"/>
        <v>0</v>
      </c>
      <c r="R29" s="176" t="str">
        <f t="shared" si="5"/>
        <v>-</v>
      </c>
      <c r="S29" s="808"/>
      <c r="T29" s="174"/>
      <c r="U29" s="427">
        <v>0</v>
      </c>
      <c r="V29" s="175">
        <f t="shared" si="6"/>
        <v>0</v>
      </c>
      <c r="W29" s="176" t="str">
        <f t="shared" si="7"/>
        <v>-</v>
      </c>
      <c r="X29" s="808"/>
    </row>
    <row r="30" spans="1:24" x14ac:dyDescent="0.25">
      <c r="A30" s="179"/>
      <c r="B30" s="180" t="s">
        <v>629</v>
      </c>
      <c r="C30" s="464"/>
      <c r="D30" s="464"/>
      <c r="E30" s="174"/>
      <c r="F30" s="174"/>
      <c r="G30" s="175"/>
      <c r="H30" s="176"/>
      <c r="I30" s="808"/>
      <c r="J30" s="174"/>
      <c r="K30" s="464"/>
      <c r="L30" s="175"/>
      <c r="M30" s="176"/>
      <c r="N30" s="808"/>
      <c r="O30" s="174"/>
      <c r="P30" s="427"/>
      <c r="Q30" s="175"/>
      <c r="R30" s="176"/>
      <c r="S30" s="808"/>
      <c r="T30" s="174"/>
      <c r="U30" s="427"/>
      <c r="V30" s="175"/>
      <c r="W30" s="176"/>
      <c r="X30" s="808"/>
    </row>
    <row r="31" spans="1:24" x14ac:dyDescent="0.25">
      <c r="A31" s="179"/>
      <c r="B31" s="180" t="s">
        <v>630</v>
      </c>
      <c r="C31" s="464"/>
      <c r="D31" s="464"/>
      <c r="E31" s="174"/>
      <c r="F31" s="174"/>
      <c r="G31" s="175"/>
      <c r="H31" s="176"/>
      <c r="I31" s="808"/>
      <c r="J31" s="174"/>
      <c r="K31" s="464"/>
      <c r="L31" s="175"/>
      <c r="M31" s="176"/>
      <c r="N31" s="808"/>
      <c r="O31" s="174"/>
      <c r="P31" s="427"/>
      <c r="Q31" s="175"/>
      <c r="R31" s="176"/>
      <c r="S31" s="808"/>
      <c r="T31" s="174"/>
      <c r="U31" s="427"/>
      <c r="V31" s="175"/>
      <c r="W31" s="176"/>
      <c r="X31" s="808"/>
    </row>
    <row r="32" spans="1:24" x14ac:dyDescent="0.25">
      <c r="A32" s="179"/>
      <c r="B32" s="180" t="s">
        <v>631</v>
      </c>
      <c r="C32" s="464"/>
      <c r="D32" s="464"/>
      <c r="E32" s="174"/>
      <c r="F32" s="174"/>
      <c r="G32" s="175"/>
      <c r="H32" s="176"/>
      <c r="I32" s="808"/>
      <c r="J32" s="174"/>
      <c r="K32" s="464"/>
      <c r="L32" s="175"/>
      <c r="M32" s="176"/>
      <c r="N32" s="808"/>
      <c r="O32" s="174"/>
      <c r="P32" s="427"/>
      <c r="Q32" s="175"/>
      <c r="R32" s="176"/>
      <c r="S32" s="808"/>
      <c r="T32" s="174"/>
      <c r="U32" s="427"/>
      <c r="V32" s="175"/>
      <c r="W32" s="176"/>
      <c r="X32" s="808"/>
    </row>
    <row r="33" spans="1:24" ht="31.5" x14ac:dyDescent="0.25">
      <c r="A33" s="179">
        <v>53400</v>
      </c>
      <c r="B33" s="180" t="s">
        <v>632</v>
      </c>
      <c r="C33" s="464"/>
      <c r="D33" s="464"/>
      <c r="E33" s="174"/>
      <c r="F33" s="174"/>
      <c r="G33" s="175">
        <f t="shared" si="0"/>
        <v>0</v>
      </c>
      <c r="H33" s="176" t="str">
        <f t="shared" si="1"/>
        <v>-</v>
      </c>
      <c r="I33" s="808"/>
      <c r="J33" s="174"/>
      <c r="K33" s="465">
        <f>K34+K35</f>
        <v>0</v>
      </c>
      <c r="L33" s="175">
        <f t="shared" si="2"/>
        <v>0</v>
      </c>
      <c r="M33" s="176" t="str">
        <f t="shared" si="3"/>
        <v>-</v>
      </c>
      <c r="N33" s="808"/>
      <c r="O33" s="174"/>
      <c r="P33" s="427"/>
      <c r="Q33" s="175">
        <f t="shared" si="4"/>
        <v>0</v>
      </c>
      <c r="R33" s="176" t="str">
        <f t="shared" si="5"/>
        <v>-</v>
      </c>
      <c r="S33" s="808"/>
      <c r="T33" s="174"/>
      <c r="U33" s="427">
        <v>0</v>
      </c>
      <c r="V33" s="175">
        <f t="shared" si="6"/>
        <v>0</v>
      </c>
      <c r="W33" s="176" t="str">
        <f t="shared" si="7"/>
        <v>-</v>
      </c>
      <c r="X33" s="808"/>
    </row>
    <row r="34" spans="1:24" x14ac:dyDescent="0.25">
      <c r="A34" s="179"/>
      <c r="B34" s="180" t="s">
        <v>633</v>
      </c>
      <c r="C34" s="464"/>
      <c r="D34" s="464"/>
      <c r="E34" s="174"/>
      <c r="F34" s="174"/>
      <c r="G34" s="175"/>
      <c r="H34" s="176"/>
      <c r="I34" s="808"/>
      <c r="J34" s="174"/>
      <c r="K34" s="464"/>
      <c r="L34" s="175"/>
      <c r="M34" s="176"/>
      <c r="N34" s="808"/>
      <c r="O34" s="174"/>
      <c r="P34" s="427"/>
      <c r="Q34" s="175"/>
      <c r="R34" s="176"/>
      <c r="S34" s="808"/>
      <c r="T34" s="174"/>
      <c r="U34" s="427"/>
      <c r="V34" s="175"/>
      <c r="W34" s="176"/>
      <c r="X34" s="808"/>
    </row>
    <row r="35" spans="1:24" x14ac:dyDescent="0.25">
      <c r="A35" s="179"/>
      <c r="B35" s="180" t="s">
        <v>634</v>
      </c>
      <c r="C35" s="464"/>
      <c r="D35" s="464"/>
      <c r="E35" s="174"/>
      <c r="F35" s="174"/>
      <c r="G35" s="175"/>
      <c r="H35" s="176"/>
      <c r="I35" s="808"/>
      <c r="J35" s="174"/>
      <c r="K35" s="464"/>
      <c r="L35" s="175"/>
      <c r="M35" s="176"/>
      <c r="N35" s="808"/>
      <c r="O35" s="174"/>
      <c r="P35" s="427"/>
      <c r="Q35" s="175"/>
      <c r="R35" s="176"/>
      <c r="S35" s="808"/>
      <c r="T35" s="174"/>
      <c r="U35" s="427"/>
      <c r="V35" s="175"/>
      <c r="W35" s="176"/>
      <c r="X35" s="808"/>
    </row>
    <row r="36" spans="1:24" ht="31.5" x14ac:dyDescent="0.25">
      <c r="A36" s="179">
        <v>53500</v>
      </c>
      <c r="B36" s="180" t="s">
        <v>635</v>
      </c>
      <c r="C36" s="464"/>
      <c r="D36" s="464"/>
      <c r="E36" s="174"/>
      <c r="F36" s="174"/>
      <c r="G36" s="175">
        <f t="shared" si="0"/>
        <v>0</v>
      </c>
      <c r="H36" s="176" t="str">
        <f t="shared" si="1"/>
        <v>-</v>
      </c>
      <c r="I36" s="808"/>
      <c r="J36" s="174"/>
      <c r="K36" s="464"/>
      <c r="L36" s="175">
        <f t="shared" si="2"/>
        <v>0</v>
      </c>
      <c r="M36" s="176" t="str">
        <f t="shared" si="3"/>
        <v>-</v>
      </c>
      <c r="N36" s="808"/>
      <c r="O36" s="174"/>
      <c r="P36" s="174"/>
      <c r="Q36" s="175">
        <f t="shared" si="4"/>
        <v>0</v>
      </c>
      <c r="R36" s="176" t="str">
        <f t="shared" si="5"/>
        <v>-</v>
      </c>
      <c r="S36" s="808"/>
      <c r="T36" s="174"/>
      <c r="U36" s="174"/>
      <c r="V36" s="175">
        <f t="shared" si="6"/>
        <v>0</v>
      </c>
      <c r="W36" s="176" t="str">
        <f t="shared" si="7"/>
        <v>-</v>
      </c>
      <c r="X36" s="808"/>
    </row>
    <row r="37" spans="1:24" ht="31.5" x14ac:dyDescent="0.25">
      <c r="A37" s="182">
        <v>53600</v>
      </c>
      <c r="B37" s="183" t="s">
        <v>636</v>
      </c>
      <c r="C37" s="464"/>
      <c r="D37" s="464"/>
      <c r="E37" s="174"/>
      <c r="F37" s="174"/>
      <c r="G37" s="175">
        <f t="shared" si="0"/>
        <v>0</v>
      </c>
      <c r="H37" s="176" t="str">
        <f t="shared" si="1"/>
        <v>-</v>
      </c>
      <c r="I37" s="808"/>
      <c r="J37" s="174"/>
      <c r="K37" s="464"/>
      <c r="L37" s="175">
        <f t="shared" si="2"/>
        <v>0</v>
      </c>
      <c r="M37" s="176" t="str">
        <f t="shared" si="3"/>
        <v>-</v>
      </c>
      <c r="N37" s="808"/>
      <c r="O37" s="174"/>
      <c r="P37" s="174"/>
      <c r="Q37" s="175">
        <f t="shared" si="4"/>
        <v>0</v>
      </c>
      <c r="R37" s="176" t="str">
        <f t="shared" si="5"/>
        <v>-</v>
      </c>
      <c r="S37" s="808"/>
      <c r="T37" s="174"/>
      <c r="U37" s="174"/>
      <c r="V37" s="175">
        <f t="shared" si="6"/>
        <v>0</v>
      </c>
      <c r="W37" s="176" t="str">
        <f t="shared" si="7"/>
        <v>-</v>
      </c>
      <c r="X37" s="808"/>
    </row>
    <row r="38" spans="1:24" x14ac:dyDescent="0.25">
      <c r="A38" s="159">
        <v>50000</v>
      </c>
      <c r="B38" s="153" t="s">
        <v>637</v>
      </c>
      <c r="C38" s="535">
        <f>C16+C8+C3</f>
        <v>1908351</v>
      </c>
      <c r="D38" s="535">
        <f>D16+D8+D3</f>
        <v>1019130</v>
      </c>
      <c r="E38" s="94">
        <f ca="1">E3+E16+E8</f>
        <v>344725</v>
      </c>
      <c r="F38" s="94">
        <f ca="1">F3+F16+F8</f>
        <v>0</v>
      </c>
      <c r="G38" s="95">
        <f t="shared" ca="1" si="0"/>
        <v>-344725</v>
      </c>
      <c r="H38" s="29">
        <f t="shared" ca="1" si="1"/>
        <v>-1</v>
      </c>
      <c r="I38" s="388"/>
      <c r="J38" s="94">
        <f>J3+J16+J8</f>
        <v>659130</v>
      </c>
      <c r="K38" s="469">
        <f ca="1">K3+K16+K8</f>
        <v>0</v>
      </c>
      <c r="L38" s="95">
        <f t="shared" ca="1" si="2"/>
        <v>-659130</v>
      </c>
      <c r="M38" s="29">
        <f t="shared" ca="1" si="3"/>
        <v>-1</v>
      </c>
      <c r="N38" s="388" t="s">
        <v>638</v>
      </c>
      <c r="O38" s="94">
        <f>O3+O16+O8</f>
        <v>809130</v>
      </c>
      <c r="P38" s="94">
        <f ca="1">P3+P16+P8</f>
        <v>0</v>
      </c>
      <c r="Q38" s="95">
        <f t="shared" ca="1" si="4"/>
        <v>-809130</v>
      </c>
      <c r="R38" s="29">
        <f t="shared" ca="1" si="5"/>
        <v>-1</v>
      </c>
      <c r="S38" s="388"/>
      <c r="T38" s="94">
        <f>T3+T8+T16</f>
        <v>1019130</v>
      </c>
      <c r="U38" s="94">
        <f ca="1">U3+U16+U8</f>
        <v>0</v>
      </c>
      <c r="V38" s="95">
        <f t="shared" ca="1" si="6"/>
        <v>-1019130</v>
      </c>
      <c r="W38" s="29">
        <f t="shared" ca="1" si="7"/>
        <v>-1</v>
      </c>
      <c r="X38" s="388"/>
    </row>
    <row r="39" spans="1:24" x14ac:dyDescent="0.25">
      <c r="A39" s="240"/>
      <c r="B39" s="241"/>
      <c r="C39" s="536"/>
    </row>
    <row r="40" spans="1:24" x14ac:dyDescent="0.25">
      <c r="A40" s="30" t="s">
        <v>230</v>
      </c>
    </row>
    <row r="41" spans="1:24" ht="34.5" customHeight="1" x14ac:dyDescent="0.25">
      <c r="A41" s="778" t="s">
        <v>259</v>
      </c>
      <c r="B41" s="778"/>
      <c r="C41" s="778"/>
      <c r="D41" s="778"/>
      <c r="E41" s="778"/>
      <c r="F41" s="778"/>
      <c r="G41" s="778"/>
      <c r="H41" s="243"/>
      <c r="I41" s="243"/>
      <c r="J41" s="243"/>
    </row>
    <row r="42" spans="1:24" ht="37.5" customHeight="1" x14ac:dyDescent="0.25">
      <c r="A42" s="756" t="s">
        <v>639</v>
      </c>
      <c r="B42" s="756"/>
      <c r="C42" s="756"/>
      <c r="D42" s="756"/>
      <c r="E42" s="756"/>
    </row>
    <row r="43" spans="1:24" x14ac:dyDescent="0.25">
      <c r="A43" s="242"/>
      <c r="B43" s="242"/>
      <c r="C43" s="537"/>
      <c r="D43" s="537"/>
    </row>
  </sheetData>
  <sheetProtection formatColumns="0" formatRows="0" insertRows="0" deleteRows="0"/>
  <mergeCells count="14">
    <mergeCell ref="X16:X37"/>
    <mergeCell ref="A41:G41"/>
    <mergeCell ref="A42:E42"/>
    <mergeCell ref="I3:I7"/>
    <mergeCell ref="I8:I15"/>
    <mergeCell ref="N3:N7"/>
    <mergeCell ref="S3:S7"/>
    <mergeCell ref="X3:X7"/>
    <mergeCell ref="N8:N15"/>
    <mergeCell ref="S8:S15"/>
    <mergeCell ref="X8:X15"/>
    <mergeCell ref="I16:I37"/>
    <mergeCell ref="N16:N37"/>
    <mergeCell ref="S16:S37"/>
  </mergeCells>
  <phoneticPr fontId="49" type="noConversion"/>
  <pageMargins left="0.23622047244094491" right="0.23622047244094491" top="0.74803149606299213" bottom="0.74803149606299213" header="0.31496062992125984" footer="0.31496062992125984"/>
  <pageSetup paperSize="9" scale="64" fitToWidth="0" fitToHeight="0" orientation="portrait" r:id="rId1"/>
  <headerFooter>
    <oddHeader xml:space="preserve">&amp;C&amp;"Times New Roman,Bold"&amp;14Ieguldījumu tāme&amp;R&amp;"Times New Roman,Regular"&amp;14 6.pielikums
 </oddHeader>
    <oddFooter>&amp;C&amp;"Times New Roman,Regular"&amp;12&amp;F &amp;A&amp;R&amp;"Times New Roman,Regular"&amp;14&amp;P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C4DBF-FFBC-40C1-A4FF-7AF98AA06419}">
  <dimension ref="A1:G122"/>
  <sheetViews>
    <sheetView workbookViewId="0">
      <selection activeCell="E73" sqref="E73"/>
    </sheetView>
  </sheetViews>
  <sheetFormatPr defaultColWidth="9.140625" defaultRowHeight="15.75" x14ac:dyDescent="0.2"/>
  <cols>
    <col min="1" max="1" width="8.7109375" style="412" bestFit="1" customWidth="1"/>
    <col min="2" max="2" width="43.85546875" style="395" customWidth="1"/>
    <col min="3" max="3" width="19.85546875" style="509" customWidth="1"/>
    <col min="4" max="6" width="17.5703125" style="509" customWidth="1"/>
    <col min="7" max="7" width="43.42578125" style="509" customWidth="1"/>
    <col min="8" max="16384" width="9.140625" style="395"/>
  </cols>
  <sheetData>
    <row r="1" spans="1:7" ht="47.25" x14ac:dyDescent="0.2">
      <c r="A1" s="17" t="s">
        <v>640</v>
      </c>
      <c r="B1" s="394" t="s">
        <v>237</v>
      </c>
      <c r="C1" s="471" t="s">
        <v>641</v>
      </c>
      <c r="D1" s="471" t="s">
        <v>642</v>
      </c>
      <c r="E1" s="471" t="s">
        <v>643</v>
      </c>
      <c r="F1" s="471" t="s">
        <v>644</v>
      </c>
      <c r="G1" s="472" t="s">
        <v>645</v>
      </c>
    </row>
    <row r="2" spans="1:7" ht="12" customHeight="1" x14ac:dyDescent="0.2">
      <c r="A2" s="17" t="s">
        <v>646</v>
      </c>
      <c r="B2" s="394">
        <v>2</v>
      </c>
      <c r="C2" s="471">
        <v>3</v>
      </c>
      <c r="D2" s="471">
        <v>4</v>
      </c>
      <c r="E2" s="471">
        <v>5</v>
      </c>
      <c r="F2" s="471">
        <v>6</v>
      </c>
      <c r="G2" s="472">
        <v>7</v>
      </c>
    </row>
    <row r="3" spans="1:7" s="398" customFormat="1" ht="18" customHeight="1" x14ac:dyDescent="0.2">
      <c r="A3" s="396"/>
      <c r="B3" s="397" t="s">
        <v>317</v>
      </c>
      <c r="C3" s="473">
        <f>C4+C27</f>
        <v>0</v>
      </c>
      <c r="D3" s="474"/>
      <c r="E3" s="474"/>
      <c r="F3" s="474"/>
      <c r="G3" s="474"/>
    </row>
    <row r="4" spans="1:7" s="398" customFormat="1" ht="18" customHeight="1" x14ac:dyDescent="0.2">
      <c r="A4" s="399" t="s">
        <v>647</v>
      </c>
      <c r="B4" s="44" t="s">
        <v>318</v>
      </c>
      <c r="C4" s="475">
        <f>C5+C9+C13+C23</f>
        <v>0</v>
      </c>
      <c r="D4" s="476"/>
      <c r="E4" s="477"/>
      <c r="F4" s="478"/>
      <c r="G4" s="478"/>
    </row>
    <row r="5" spans="1:7" s="398" customFormat="1" ht="18" customHeight="1" x14ac:dyDescent="0.2">
      <c r="A5" s="400" t="s">
        <v>648</v>
      </c>
      <c r="B5" s="401" t="s">
        <v>319</v>
      </c>
      <c r="C5" s="413"/>
      <c r="D5" s="480"/>
      <c r="E5" s="481"/>
      <c r="F5" s="482"/>
      <c r="G5" s="482"/>
    </row>
    <row r="6" spans="1:7" s="398" customFormat="1" ht="18" customHeight="1" x14ac:dyDescent="0.2">
      <c r="A6" s="402" t="s">
        <v>649</v>
      </c>
      <c r="B6" s="16" t="s">
        <v>650</v>
      </c>
      <c r="C6" s="414"/>
      <c r="D6" s="461"/>
      <c r="E6" s="484"/>
      <c r="F6" s="485"/>
      <c r="G6" s="485"/>
    </row>
    <row r="7" spans="1:7" s="398" customFormat="1" ht="18" customHeight="1" x14ac:dyDescent="0.2">
      <c r="A7" s="402" t="s">
        <v>651</v>
      </c>
      <c r="B7" s="16" t="s">
        <v>650</v>
      </c>
      <c r="C7" s="414"/>
      <c r="D7" s="461"/>
      <c r="E7" s="484"/>
      <c r="F7" s="485"/>
      <c r="G7" s="485"/>
    </row>
    <row r="8" spans="1:7" s="398" customFormat="1" ht="18" customHeight="1" x14ac:dyDescent="0.2">
      <c r="A8" s="402" t="s">
        <v>652</v>
      </c>
      <c r="B8" s="16" t="s">
        <v>650</v>
      </c>
      <c r="C8" s="414"/>
      <c r="D8" s="461"/>
      <c r="E8" s="484"/>
      <c r="F8" s="485"/>
      <c r="G8" s="485"/>
    </row>
    <row r="9" spans="1:7" s="398" customFormat="1" ht="18" customHeight="1" x14ac:dyDescent="0.2">
      <c r="A9" s="400" t="s">
        <v>653</v>
      </c>
      <c r="B9" s="401" t="s">
        <v>320</v>
      </c>
      <c r="C9" s="413"/>
      <c r="D9" s="480"/>
      <c r="E9" s="481"/>
      <c r="F9" s="482"/>
      <c r="G9" s="482"/>
    </row>
    <row r="10" spans="1:7" s="398" customFormat="1" ht="18" customHeight="1" x14ac:dyDescent="0.2">
      <c r="A10" s="402" t="s">
        <v>654</v>
      </c>
      <c r="B10" s="16" t="s">
        <v>650</v>
      </c>
      <c r="C10" s="414"/>
      <c r="D10" s="461"/>
      <c r="E10" s="484"/>
      <c r="F10" s="485"/>
      <c r="G10" s="485"/>
    </row>
    <row r="11" spans="1:7" s="398" customFormat="1" ht="18" customHeight="1" x14ac:dyDescent="0.2">
      <c r="A11" s="402" t="s">
        <v>655</v>
      </c>
      <c r="B11" s="16" t="s">
        <v>650</v>
      </c>
      <c r="C11" s="414"/>
      <c r="D11" s="461"/>
      <c r="E11" s="484"/>
      <c r="F11" s="485"/>
      <c r="G11" s="485"/>
    </row>
    <row r="12" spans="1:7" s="398" customFormat="1" ht="18" customHeight="1" x14ac:dyDescent="0.2">
      <c r="A12" s="402" t="s">
        <v>652</v>
      </c>
      <c r="B12" s="16" t="s">
        <v>650</v>
      </c>
      <c r="C12" s="414"/>
      <c r="D12" s="461"/>
      <c r="E12" s="484"/>
      <c r="F12" s="485"/>
      <c r="G12" s="485"/>
    </row>
    <row r="13" spans="1:7" s="398" customFormat="1" ht="18" customHeight="1" x14ac:dyDescent="0.2">
      <c r="A13" s="400" t="s">
        <v>656</v>
      </c>
      <c r="B13" s="401" t="s">
        <v>325</v>
      </c>
      <c r="C13" s="479">
        <f>C14+C15+C16+C17+C18+C19+C20+C21</f>
        <v>0</v>
      </c>
      <c r="D13" s="480"/>
      <c r="E13" s="481"/>
      <c r="F13" s="482"/>
      <c r="G13" s="482"/>
    </row>
    <row r="14" spans="1:7" s="398" customFormat="1" x14ac:dyDescent="0.25">
      <c r="A14" s="402" t="s">
        <v>657</v>
      </c>
      <c r="B14" s="444"/>
      <c r="C14" s="483"/>
      <c r="D14" s="461"/>
      <c r="E14" s="484"/>
      <c r="F14" s="485"/>
      <c r="G14" s="485"/>
    </row>
    <row r="15" spans="1:7" s="398" customFormat="1" x14ac:dyDescent="0.25">
      <c r="A15" s="402" t="s">
        <v>658</v>
      </c>
      <c r="B15" s="445"/>
      <c r="C15" s="483"/>
      <c r="D15" s="461"/>
      <c r="E15" s="484"/>
      <c r="F15" s="485"/>
      <c r="G15" s="485"/>
    </row>
    <row r="16" spans="1:7" s="398" customFormat="1" x14ac:dyDescent="0.25">
      <c r="A16" s="402" t="s">
        <v>652</v>
      </c>
      <c r="B16" s="445"/>
      <c r="C16" s="483"/>
      <c r="D16" s="461"/>
      <c r="E16" s="484"/>
      <c r="F16" s="485"/>
      <c r="G16" s="485"/>
    </row>
    <row r="17" spans="1:7" s="398" customFormat="1" x14ac:dyDescent="0.25">
      <c r="A17" s="402"/>
      <c r="B17" s="445"/>
      <c r="C17" s="483"/>
      <c r="D17" s="461"/>
      <c r="E17" s="484"/>
      <c r="F17" s="485"/>
      <c r="G17" s="485"/>
    </row>
    <row r="18" spans="1:7" s="398" customFormat="1" ht="18" customHeight="1" x14ac:dyDescent="0.25">
      <c r="A18" s="402"/>
      <c r="B18" s="445"/>
      <c r="C18" s="483"/>
      <c r="D18" s="461"/>
      <c r="E18" s="484"/>
      <c r="F18" s="485"/>
      <c r="G18" s="485"/>
    </row>
    <row r="19" spans="1:7" s="398" customFormat="1" ht="18" customHeight="1" x14ac:dyDescent="0.25">
      <c r="A19" s="402"/>
      <c r="B19" s="445"/>
      <c r="C19" s="483"/>
      <c r="D19" s="461"/>
      <c r="E19" s="484"/>
      <c r="F19" s="485"/>
      <c r="G19" s="485"/>
    </row>
    <row r="20" spans="1:7" s="398" customFormat="1" ht="18" customHeight="1" x14ac:dyDescent="0.25">
      <c r="A20" s="402"/>
      <c r="B20" s="445"/>
      <c r="C20" s="483"/>
      <c r="D20" s="461"/>
      <c r="E20" s="484"/>
      <c r="F20" s="485"/>
      <c r="G20" s="485"/>
    </row>
    <row r="21" spans="1:7" s="398" customFormat="1" ht="18" customHeight="1" x14ac:dyDescent="0.25">
      <c r="A21" s="402"/>
      <c r="B21" s="445"/>
      <c r="C21" s="483"/>
      <c r="D21" s="461"/>
      <c r="E21" s="484"/>
      <c r="F21" s="485"/>
      <c r="G21" s="485"/>
    </row>
    <row r="22" spans="1:7" s="398" customFormat="1" ht="18" customHeight="1" x14ac:dyDescent="0.2">
      <c r="A22" s="402"/>
      <c r="B22" s="16"/>
      <c r="C22" s="483"/>
      <c r="D22" s="461"/>
      <c r="E22" s="484"/>
      <c r="F22" s="485"/>
      <c r="G22" s="485"/>
    </row>
    <row r="23" spans="1:7" s="398" customFormat="1" ht="18" customHeight="1" x14ac:dyDescent="0.2">
      <c r="A23" s="400" t="s">
        <v>659</v>
      </c>
      <c r="B23" s="401" t="s">
        <v>660</v>
      </c>
      <c r="C23" s="479">
        <f>C24+C25</f>
        <v>0</v>
      </c>
      <c r="D23" s="480"/>
      <c r="E23" s="481"/>
      <c r="F23" s="482"/>
      <c r="G23" s="482"/>
    </row>
    <row r="24" spans="1:7" s="398" customFormat="1" ht="18" customHeight="1" x14ac:dyDescent="0.25">
      <c r="A24" s="403" t="s">
        <v>661</v>
      </c>
      <c r="B24" s="446"/>
      <c r="C24" s="517"/>
      <c r="D24" s="486" t="s">
        <v>407</v>
      </c>
      <c r="E24" s="486" t="s">
        <v>407</v>
      </c>
      <c r="F24" s="486" t="s">
        <v>407</v>
      </c>
      <c r="G24" s="486"/>
    </row>
    <row r="25" spans="1:7" s="398" customFormat="1" ht="18" customHeight="1" x14ac:dyDescent="0.2">
      <c r="A25" s="403" t="s">
        <v>662</v>
      </c>
      <c r="B25" s="15"/>
      <c r="C25" s="415"/>
      <c r="D25" s="488"/>
      <c r="E25" s="489"/>
      <c r="F25" s="450"/>
      <c r="G25" s="450"/>
    </row>
    <row r="26" spans="1:7" s="398" customFormat="1" ht="18" customHeight="1" x14ac:dyDescent="0.2">
      <c r="A26" s="403" t="s">
        <v>652</v>
      </c>
      <c r="B26" s="15" t="s">
        <v>650</v>
      </c>
      <c r="C26" s="415"/>
      <c r="D26" s="488"/>
      <c r="E26" s="489"/>
      <c r="F26" s="450"/>
      <c r="G26" s="450"/>
    </row>
    <row r="27" spans="1:7" s="398" customFormat="1" ht="18" customHeight="1" x14ac:dyDescent="0.2">
      <c r="A27" s="399" t="s">
        <v>663</v>
      </c>
      <c r="B27" s="44" t="s">
        <v>328</v>
      </c>
      <c r="C27" s="475">
        <f>C28+C32+C36+C46+C55+C62+C67+C77</f>
        <v>0</v>
      </c>
      <c r="D27" s="476"/>
      <c r="E27" s="477"/>
      <c r="F27" s="478"/>
      <c r="G27" s="478"/>
    </row>
    <row r="28" spans="1:7" s="398" customFormat="1" ht="18" customHeight="1" x14ac:dyDescent="0.2">
      <c r="A28" s="400" t="s">
        <v>664</v>
      </c>
      <c r="B28" s="401" t="s">
        <v>319</v>
      </c>
      <c r="C28" s="413"/>
      <c r="D28" s="480"/>
      <c r="E28" s="481"/>
      <c r="F28" s="482"/>
      <c r="G28" s="482"/>
    </row>
    <row r="29" spans="1:7" s="398" customFormat="1" ht="18" customHeight="1" x14ac:dyDescent="0.2">
      <c r="A29" s="403" t="s">
        <v>665</v>
      </c>
      <c r="B29" s="15" t="s">
        <v>650</v>
      </c>
      <c r="C29" s="415"/>
      <c r="D29" s="488"/>
      <c r="E29" s="489"/>
      <c r="F29" s="450"/>
      <c r="G29" s="450"/>
    </row>
    <row r="30" spans="1:7" s="398" customFormat="1" ht="18" customHeight="1" x14ac:dyDescent="0.2">
      <c r="A30" s="403" t="s">
        <v>666</v>
      </c>
      <c r="B30" s="15" t="s">
        <v>650</v>
      </c>
      <c r="C30" s="415"/>
      <c r="D30" s="488"/>
      <c r="E30" s="489"/>
      <c r="F30" s="450"/>
      <c r="G30" s="450"/>
    </row>
    <row r="31" spans="1:7" s="398" customFormat="1" ht="18" customHeight="1" x14ac:dyDescent="0.2">
      <c r="A31" s="403" t="s">
        <v>652</v>
      </c>
      <c r="B31" s="15" t="s">
        <v>650</v>
      </c>
      <c r="C31" s="415"/>
      <c r="D31" s="488"/>
      <c r="E31" s="489"/>
      <c r="F31" s="450"/>
      <c r="G31" s="450"/>
    </row>
    <row r="32" spans="1:7" s="398" customFormat="1" ht="18" customHeight="1" x14ac:dyDescent="0.2">
      <c r="A32" s="400" t="s">
        <v>667</v>
      </c>
      <c r="B32" s="401" t="s">
        <v>320</v>
      </c>
      <c r="C32" s="413"/>
      <c r="D32" s="481"/>
      <c r="E32" s="481"/>
      <c r="F32" s="482"/>
      <c r="G32" s="482"/>
    </row>
    <row r="33" spans="1:7" s="398" customFormat="1" ht="18" customHeight="1" x14ac:dyDescent="0.2">
      <c r="A33" s="402" t="s">
        <v>668</v>
      </c>
      <c r="B33" s="16" t="s">
        <v>650</v>
      </c>
      <c r="C33" s="414"/>
      <c r="D33" s="484"/>
      <c r="E33" s="484"/>
      <c r="F33" s="485"/>
      <c r="G33" s="485"/>
    </row>
    <row r="34" spans="1:7" s="398" customFormat="1" ht="18" customHeight="1" x14ac:dyDescent="0.2">
      <c r="A34" s="402" t="s">
        <v>669</v>
      </c>
      <c r="B34" s="16" t="s">
        <v>650</v>
      </c>
      <c r="C34" s="414"/>
      <c r="D34" s="484"/>
      <c r="E34" s="484"/>
      <c r="F34" s="485"/>
      <c r="G34" s="485"/>
    </row>
    <row r="35" spans="1:7" s="398" customFormat="1" ht="18" customHeight="1" x14ac:dyDescent="0.2">
      <c r="A35" s="402" t="s">
        <v>652</v>
      </c>
      <c r="B35" s="16" t="s">
        <v>650</v>
      </c>
      <c r="C35" s="414"/>
      <c r="D35" s="484"/>
      <c r="E35" s="484"/>
      <c r="F35" s="485"/>
      <c r="G35" s="485"/>
    </row>
    <row r="36" spans="1:7" s="398" customFormat="1" ht="18" customHeight="1" x14ac:dyDescent="0.2">
      <c r="A36" s="400" t="s">
        <v>670</v>
      </c>
      <c r="B36" s="401" t="s">
        <v>671</v>
      </c>
      <c r="C36" s="479">
        <f>C37</f>
        <v>0</v>
      </c>
      <c r="D36" s="481"/>
      <c r="E36" s="484"/>
      <c r="F36" s="482"/>
      <c r="G36" s="482"/>
    </row>
    <row r="37" spans="1:7" s="398" customFormat="1" x14ac:dyDescent="0.25">
      <c r="A37" s="403" t="s">
        <v>672</v>
      </c>
      <c r="B37" s="444"/>
      <c r="C37" s="518"/>
      <c r="D37" s="490"/>
      <c r="E37" s="490"/>
      <c r="F37" s="490"/>
      <c r="G37" s="490"/>
    </row>
    <row r="38" spans="1:7" s="398" customFormat="1" ht="18" customHeight="1" x14ac:dyDescent="0.2">
      <c r="A38" s="403" t="s">
        <v>673</v>
      </c>
      <c r="B38" s="401"/>
      <c r="C38" s="413"/>
      <c r="D38" s="481"/>
      <c r="E38" s="484"/>
      <c r="F38" s="482"/>
      <c r="G38" s="482"/>
    </row>
    <row r="39" spans="1:7" s="398" customFormat="1" ht="18" customHeight="1" x14ac:dyDescent="0.2">
      <c r="A39" s="403" t="s">
        <v>652</v>
      </c>
      <c r="B39" s="401"/>
      <c r="C39" s="413"/>
      <c r="D39" s="481"/>
      <c r="E39" s="484"/>
      <c r="F39" s="482"/>
      <c r="G39" s="482"/>
    </row>
    <row r="40" spans="1:7" s="398" customFormat="1" ht="18" customHeight="1" x14ac:dyDescent="0.2">
      <c r="A40" s="400"/>
      <c r="B40" s="401"/>
      <c r="C40" s="413"/>
      <c r="D40" s="481"/>
      <c r="E40" s="484"/>
      <c r="F40" s="482"/>
      <c r="G40" s="482"/>
    </row>
    <row r="41" spans="1:7" s="398" customFormat="1" ht="18" hidden="1" customHeight="1" x14ac:dyDescent="0.25">
      <c r="A41" s="428"/>
      <c r="B41" s="404"/>
      <c r="C41" s="429"/>
      <c r="D41" s="489"/>
      <c r="E41" s="489"/>
      <c r="F41" s="450"/>
      <c r="G41" s="450"/>
    </row>
    <row r="42" spans="1:7" s="398" customFormat="1" ht="18" hidden="1" customHeight="1" x14ac:dyDescent="0.25">
      <c r="A42" s="428"/>
      <c r="B42" s="404"/>
      <c r="C42" s="429"/>
      <c r="D42" s="489"/>
      <c r="E42" s="489"/>
      <c r="F42" s="450"/>
      <c r="G42" s="450"/>
    </row>
    <row r="43" spans="1:7" s="398" customFormat="1" ht="18" hidden="1" customHeight="1" x14ac:dyDescent="0.25">
      <c r="A43" s="428"/>
      <c r="B43" s="404"/>
      <c r="C43" s="429"/>
      <c r="D43" s="491"/>
      <c r="E43" s="491"/>
      <c r="F43" s="492"/>
      <c r="G43" s="492"/>
    </row>
    <row r="44" spans="1:7" s="398" customFormat="1" ht="18" hidden="1" customHeight="1" x14ac:dyDescent="0.25">
      <c r="A44" s="403"/>
      <c r="B44" s="404"/>
      <c r="C44" s="429"/>
      <c r="D44" s="491"/>
      <c r="E44" s="491"/>
      <c r="F44" s="492"/>
      <c r="G44" s="492"/>
    </row>
    <row r="45" spans="1:7" s="398" customFormat="1" ht="18" hidden="1" customHeight="1" x14ac:dyDescent="0.25">
      <c r="A45" s="403"/>
      <c r="B45" s="404"/>
      <c r="C45" s="415"/>
      <c r="D45" s="491"/>
      <c r="E45" s="491"/>
      <c r="F45" s="492"/>
      <c r="G45" s="492"/>
    </row>
    <row r="46" spans="1:7" s="398" customFormat="1" ht="42" customHeight="1" x14ac:dyDescent="0.2">
      <c r="A46" s="400" t="s">
        <v>674</v>
      </c>
      <c r="B46" s="449" t="s">
        <v>675</v>
      </c>
      <c r="C46" s="513">
        <f>C47+C48+C49+C50+C51+C52</f>
        <v>0</v>
      </c>
      <c r="D46" s="481">
        <f>D47+D48+D49+D50+D51+D52</f>
        <v>0</v>
      </c>
      <c r="E46" s="481">
        <f>E47+E48+E49+E50+E51+E52</f>
        <v>0</v>
      </c>
      <c r="F46" s="482">
        <f>F47+F48+F49+F50+F51+F52</f>
        <v>0</v>
      </c>
      <c r="G46" s="482"/>
    </row>
    <row r="47" spans="1:7" s="398" customFormat="1" ht="18" customHeight="1" x14ac:dyDescent="0.25">
      <c r="A47" s="448" t="s">
        <v>676</v>
      </c>
      <c r="B47" s="510"/>
      <c r="C47" s="515"/>
      <c r="D47" s="514"/>
      <c r="E47" s="515"/>
      <c r="F47" s="515"/>
      <c r="G47" s="493"/>
    </row>
    <row r="48" spans="1:7" s="398" customFormat="1" ht="18" customHeight="1" x14ac:dyDescent="0.25">
      <c r="A48" s="448" t="s">
        <v>677</v>
      </c>
      <c r="B48" s="510"/>
      <c r="C48" s="515"/>
      <c r="D48" s="514"/>
      <c r="E48" s="515"/>
      <c r="F48" s="515"/>
      <c r="G48" s="494"/>
    </row>
    <row r="49" spans="1:7" s="398" customFormat="1" ht="18" customHeight="1" x14ac:dyDescent="0.25">
      <c r="A49" s="448"/>
      <c r="B49" s="510"/>
      <c r="C49" s="515"/>
      <c r="D49" s="514"/>
      <c r="E49" s="515"/>
      <c r="F49" s="515"/>
      <c r="G49" s="494"/>
    </row>
    <row r="50" spans="1:7" s="398" customFormat="1" ht="18" customHeight="1" x14ac:dyDescent="0.25">
      <c r="A50" s="448"/>
      <c r="B50" s="511"/>
      <c r="C50" s="515"/>
      <c r="D50" s="514"/>
      <c r="E50" s="515"/>
      <c r="F50" s="515"/>
      <c r="G50" s="494"/>
    </row>
    <row r="51" spans="1:7" s="398" customFormat="1" ht="18" customHeight="1" x14ac:dyDescent="0.25">
      <c r="A51" s="448"/>
      <c r="B51" s="510"/>
      <c r="C51" s="515"/>
      <c r="D51" s="514"/>
      <c r="E51" s="515"/>
      <c r="F51" s="452"/>
      <c r="G51" s="494"/>
    </row>
    <row r="52" spans="1:7" s="398" customFormat="1" ht="18" customHeight="1" x14ac:dyDescent="0.25">
      <c r="A52" s="448"/>
      <c r="B52" s="538"/>
      <c r="C52" s="512"/>
      <c r="D52" s="516"/>
      <c r="E52" s="515"/>
      <c r="F52" s="495"/>
      <c r="G52" s="485"/>
    </row>
    <row r="53" spans="1:7" s="398" customFormat="1" ht="18" customHeight="1" x14ac:dyDescent="0.2">
      <c r="A53" s="402"/>
      <c r="B53" s="451"/>
      <c r="C53" s="430"/>
      <c r="D53" s="496"/>
      <c r="E53" s="496"/>
      <c r="F53" s="497"/>
      <c r="G53" s="497"/>
    </row>
    <row r="54" spans="1:7" s="398" customFormat="1" ht="18" customHeight="1" x14ac:dyDescent="0.2">
      <c r="A54" s="402"/>
      <c r="B54" s="16"/>
      <c r="C54" s="414"/>
      <c r="D54" s="484"/>
      <c r="E54" s="484"/>
      <c r="F54" s="485"/>
      <c r="G54" s="485"/>
    </row>
    <row r="55" spans="1:7" s="398" customFormat="1" ht="18" customHeight="1" x14ac:dyDescent="0.2">
      <c r="A55" s="400" t="s">
        <v>678</v>
      </c>
      <c r="B55" s="401" t="s">
        <v>679</v>
      </c>
      <c r="C55" s="479">
        <f>C56+C57+C58+C59+C60</f>
        <v>0</v>
      </c>
      <c r="D55" s="481"/>
      <c r="E55" s="481"/>
      <c r="F55" s="482"/>
      <c r="G55" s="482"/>
    </row>
    <row r="56" spans="1:7" s="398" customFormat="1" ht="18" customHeight="1" x14ac:dyDescent="0.2">
      <c r="A56" s="402" t="s">
        <v>680</v>
      </c>
      <c r="B56" s="16"/>
      <c r="C56" s="483"/>
      <c r="D56" s="484"/>
      <c r="E56" s="484"/>
      <c r="F56" s="485"/>
      <c r="G56" s="485"/>
    </row>
    <row r="57" spans="1:7" s="398" customFormat="1" ht="18" customHeight="1" x14ac:dyDescent="0.25">
      <c r="A57" s="402" t="s">
        <v>681</v>
      </c>
      <c r="B57" s="444"/>
      <c r="C57" s="483"/>
      <c r="D57" s="484"/>
      <c r="E57" s="484"/>
      <c r="F57" s="485"/>
      <c r="G57" s="485"/>
    </row>
    <row r="58" spans="1:7" s="398" customFormat="1" ht="18" customHeight="1" x14ac:dyDescent="0.25">
      <c r="A58" s="402" t="s">
        <v>682</v>
      </c>
      <c r="B58" s="445"/>
      <c r="C58" s="483"/>
      <c r="D58" s="484"/>
      <c r="E58" s="484"/>
      <c r="F58" s="485"/>
      <c r="G58" s="485"/>
    </row>
    <row r="59" spans="1:7" s="398" customFormat="1" ht="18" customHeight="1" x14ac:dyDescent="0.25">
      <c r="A59" s="402" t="s">
        <v>683</v>
      </c>
      <c r="B59" s="445"/>
      <c r="C59" s="483"/>
      <c r="D59" s="484"/>
      <c r="E59" s="484"/>
      <c r="F59" s="485"/>
      <c r="G59" s="485"/>
    </row>
    <row r="60" spans="1:7" s="398" customFormat="1" ht="18" customHeight="1" x14ac:dyDescent="0.25">
      <c r="A60" s="402"/>
      <c r="B60" s="445"/>
      <c r="C60" s="483"/>
      <c r="D60" s="484"/>
      <c r="E60" s="484"/>
      <c r="F60" s="485"/>
      <c r="G60" s="485"/>
    </row>
    <row r="61" spans="1:7" s="398" customFormat="1" ht="18" customHeight="1" x14ac:dyDescent="0.25">
      <c r="A61" s="402"/>
      <c r="B61" s="445"/>
      <c r="C61" s="414"/>
      <c r="D61" s="484"/>
      <c r="E61" s="484"/>
      <c r="F61" s="485"/>
      <c r="G61" s="485"/>
    </row>
    <row r="62" spans="1:7" s="398" customFormat="1" ht="18.600000000000001" customHeight="1" x14ac:dyDescent="0.25">
      <c r="A62" s="400" t="s">
        <v>684</v>
      </c>
      <c r="B62" s="447" t="s">
        <v>685</v>
      </c>
      <c r="C62" s="479">
        <f>C63+C64</f>
        <v>0</v>
      </c>
      <c r="D62" s="481"/>
      <c r="E62" s="481"/>
      <c r="F62" s="482"/>
      <c r="G62" s="482"/>
    </row>
    <row r="63" spans="1:7" s="398" customFormat="1" ht="18" customHeight="1" x14ac:dyDescent="0.25">
      <c r="A63" s="402" t="s">
        <v>686</v>
      </c>
      <c r="B63" s="444"/>
      <c r="C63" s="483"/>
      <c r="D63" s="484"/>
      <c r="E63" s="484"/>
      <c r="F63" s="485"/>
      <c r="G63" s="485"/>
    </row>
    <row r="64" spans="1:7" s="398" customFormat="1" ht="18" customHeight="1" x14ac:dyDescent="0.25">
      <c r="A64" s="402" t="s">
        <v>687</v>
      </c>
      <c r="B64" s="445"/>
      <c r="C64" s="483"/>
      <c r="D64" s="484"/>
      <c r="E64" s="484"/>
      <c r="F64" s="485"/>
      <c r="G64" s="485"/>
    </row>
    <row r="65" spans="1:7" s="398" customFormat="1" ht="18" customHeight="1" x14ac:dyDescent="0.2">
      <c r="A65" s="402" t="s">
        <v>652</v>
      </c>
      <c r="B65" s="16" t="s">
        <v>650</v>
      </c>
      <c r="C65" s="414"/>
      <c r="D65" s="484"/>
      <c r="E65" s="484"/>
      <c r="F65" s="485"/>
      <c r="G65" s="485"/>
    </row>
    <row r="66" spans="1:7" s="398" customFormat="1" ht="18" customHeight="1" x14ac:dyDescent="0.2">
      <c r="A66" s="402"/>
      <c r="B66" s="16"/>
      <c r="C66" s="414"/>
      <c r="D66" s="484"/>
      <c r="E66" s="484"/>
      <c r="F66" s="485"/>
      <c r="G66" s="485"/>
    </row>
    <row r="67" spans="1:7" s="398" customFormat="1" ht="18" customHeight="1" x14ac:dyDescent="0.2">
      <c r="A67" s="400" t="s">
        <v>688</v>
      </c>
      <c r="B67" s="401" t="s">
        <v>325</v>
      </c>
      <c r="C67" s="479">
        <f>C68+C69+C70+C71+C72+C73+C74+C75</f>
        <v>0</v>
      </c>
      <c r="D67" s="481"/>
      <c r="E67" s="481"/>
      <c r="F67" s="482"/>
      <c r="G67" s="482"/>
    </row>
    <row r="68" spans="1:7" s="398" customFormat="1" x14ac:dyDescent="0.25">
      <c r="A68" s="402" t="s">
        <v>689</v>
      </c>
      <c r="B68" s="444"/>
      <c r="C68" s="483"/>
      <c r="D68" s="484"/>
      <c r="E68" s="484"/>
      <c r="F68" s="485"/>
      <c r="G68" s="485"/>
    </row>
    <row r="69" spans="1:7" s="398" customFormat="1" x14ac:dyDescent="0.25">
      <c r="A69" s="402" t="s">
        <v>690</v>
      </c>
      <c r="B69" s="445"/>
      <c r="C69" s="483"/>
      <c r="D69" s="484"/>
      <c r="E69" s="484"/>
      <c r="F69" s="485"/>
      <c r="G69" s="485"/>
    </row>
    <row r="70" spans="1:7" s="398" customFormat="1" x14ac:dyDescent="0.25">
      <c r="A70" s="402" t="s">
        <v>652</v>
      </c>
      <c r="B70" s="445"/>
      <c r="C70" s="483"/>
      <c r="D70" s="484"/>
      <c r="E70" s="484"/>
      <c r="F70" s="485"/>
      <c r="G70" s="485"/>
    </row>
    <row r="71" spans="1:7" s="398" customFormat="1" x14ac:dyDescent="0.25">
      <c r="A71" s="402"/>
      <c r="B71" s="445"/>
      <c r="C71" s="483"/>
      <c r="D71" s="484"/>
      <c r="E71" s="484"/>
      <c r="F71" s="485"/>
      <c r="G71" s="485"/>
    </row>
    <row r="72" spans="1:7" s="398" customFormat="1" x14ac:dyDescent="0.25">
      <c r="A72" s="402"/>
      <c r="B72" s="445"/>
      <c r="C72" s="483"/>
      <c r="D72" s="484"/>
      <c r="E72" s="484"/>
      <c r="F72" s="485"/>
      <c r="G72" s="485"/>
    </row>
    <row r="73" spans="1:7" s="398" customFormat="1" ht="18" customHeight="1" x14ac:dyDescent="0.25">
      <c r="A73" s="402"/>
      <c r="B73" s="445"/>
      <c r="C73" s="483"/>
      <c r="D73" s="484"/>
      <c r="E73" s="484"/>
      <c r="F73" s="485"/>
      <c r="G73" s="485"/>
    </row>
    <row r="74" spans="1:7" s="398" customFormat="1" ht="18" customHeight="1" x14ac:dyDescent="0.25">
      <c r="A74" s="402"/>
      <c r="B74" s="445"/>
      <c r="C74" s="483"/>
      <c r="D74" s="484"/>
      <c r="E74" s="484"/>
      <c r="F74" s="485"/>
      <c r="G74" s="485"/>
    </row>
    <row r="75" spans="1:7" s="398" customFormat="1" ht="18" customHeight="1" x14ac:dyDescent="0.25">
      <c r="A75" s="402"/>
      <c r="B75" s="445"/>
      <c r="C75" s="483"/>
      <c r="D75" s="484"/>
      <c r="E75" s="484"/>
      <c r="F75" s="485"/>
      <c r="G75" s="485"/>
    </row>
    <row r="76" spans="1:7" s="398" customFormat="1" ht="18" customHeight="1" x14ac:dyDescent="0.2">
      <c r="A76" s="402"/>
      <c r="B76" s="16"/>
      <c r="C76" s="414"/>
      <c r="D76" s="484"/>
      <c r="E76" s="484"/>
      <c r="F76" s="485"/>
      <c r="G76" s="485"/>
    </row>
    <row r="77" spans="1:7" s="398" customFormat="1" ht="18" customHeight="1" x14ac:dyDescent="0.2">
      <c r="A77" s="400" t="s">
        <v>691</v>
      </c>
      <c r="B77" s="401" t="s">
        <v>326</v>
      </c>
      <c r="C77" s="479">
        <f>C78+C79+C80</f>
        <v>0</v>
      </c>
      <c r="D77" s="481"/>
      <c r="E77" s="481"/>
      <c r="F77" s="482"/>
      <c r="G77" s="482"/>
    </row>
    <row r="78" spans="1:7" s="398" customFormat="1" x14ac:dyDescent="0.25">
      <c r="A78" s="403" t="s">
        <v>692</v>
      </c>
      <c r="B78" s="446"/>
      <c r="C78" s="487"/>
      <c r="D78" s="489"/>
      <c r="E78" s="489"/>
      <c r="F78" s="450"/>
      <c r="G78" s="450"/>
    </row>
    <row r="79" spans="1:7" s="398" customFormat="1" x14ac:dyDescent="0.2">
      <c r="A79" s="403"/>
      <c r="B79" s="15"/>
      <c r="C79" s="487"/>
      <c r="D79" s="489"/>
      <c r="E79" s="489"/>
      <c r="F79" s="450"/>
      <c r="G79" s="450"/>
    </row>
    <row r="80" spans="1:7" s="398" customFormat="1" x14ac:dyDescent="0.2">
      <c r="A80" s="403"/>
      <c r="B80" s="15"/>
      <c r="C80" s="415"/>
      <c r="D80" s="489"/>
      <c r="E80" s="489"/>
      <c r="F80" s="450"/>
      <c r="G80" s="450"/>
    </row>
    <row r="81" spans="1:7" s="398" customFormat="1" ht="18" customHeight="1" x14ac:dyDescent="0.2">
      <c r="A81" s="403"/>
      <c r="B81" s="15"/>
      <c r="C81" s="415"/>
      <c r="D81" s="489"/>
      <c r="E81" s="489"/>
      <c r="F81" s="450"/>
      <c r="G81" s="450"/>
    </row>
    <row r="82" spans="1:7" s="398" customFormat="1" ht="18" customHeight="1" x14ac:dyDescent="0.2">
      <c r="A82" s="405"/>
      <c r="B82" s="279" t="s">
        <v>693</v>
      </c>
      <c r="C82" s="498"/>
      <c r="D82" s="499"/>
      <c r="E82" s="499"/>
      <c r="F82" s="500"/>
      <c r="G82" s="500"/>
    </row>
    <row r="83" spans="1:7" s="407" customFormat="1" ht="18" customHeight="1" x14ac:dyDescent="0.2">
      <c r="A83" s="406" t="s">
        <v>647</v>
      </c>
      <c r="B83" s="454" t="s">
        <v>694</v>
      </c>
      <c r="C83" s="502">
        <f>C84+C85+C86+C87+C89+C90</f>
        <v>0</v>
      </c>
      <c r="D83" s="502">
        <f>D84+D85+D86+D87+D89+D90</f>
        <v>0</v>
      </c>
      <c r="E83" s="502">
        <f>E84+E85+E86+E87+E89+E90</f>
        <v>0</v>
      </c>
      <c r="F83" s="502">
        <f>F84+F85+F86+F87+F89+F90</f>
        <v>0</v>
      </c>
      <c r="G83" s="502"/>
    </row>
    <row r="84" spans="1:7" s="431" customFormat="1" ht="18" customHeight="1" x14ac:dyDescent="0.25">
      <c r="A84" s="453" t="s">
        <v>648</v>
      </c>
      <c r="B84" s="510"/>
      <c r="C84" s="515"/>
      <c r="D84" s="528"/>
      <c r="E84" s="440"/>
      <c r="F84" s="440"/>
      <c r="G84" s="503"/>
    </row>
    <row r="85" spans="1:7" s="431" customFormat="1" ht="18" customHeight="1" x14ac:dyDescent="0.25">
      <c r="A85" s="453" t="s">
        <v>653</v>
      </c>
      <c r="B85" s="525"/>
      <c r="C85" s="515"/>
      <c r="D85" s="528"/>
      <c r="E85" s="440"/>
      <c r="F85" s="440"/>
      <c r="G85" s="503"/>
    </row>
    <row r="86" spans="1:7" s="431" customFormat="1" ht="18" customHeight="1" x14ac:dyDescent="0.25">
      <c r="A86" s="453" t="s">
        <v>652</v>
      </c>
      <c r="B86" s="510"/>
      <c r="C86" s="515"/>
      <c r="D86" s="528"/>
      <c r="E86" s="440"/>
      <c r="F86" s="440"/>
      <c r="G86" s="503"/>
    </row>
    <row r="87" spans="1:7" s="431" customFormat="1" ht="18" customHeight="1" x14ac:dyDescent="0.25">
      <c r="A87" s="453"/>
      <c r="B87" s="510"/>
      <c r="C87" s="515"/>
      <c r="D87" s="528"/>
      <c r="E87" s="440"/>
      <c r="F87" s="440"/>
      <c r="G87" s="503"/>
    </row>
    <row r="88" spans="1:7" s="431" customFormat="1" ht="18" hidden="1" customHeight="1" x14ac:dyDescent="0.25">
      <c r="A88" s="432"/>
      <c r="B88" s="526"/>
      <c r="C88" s="515"/>
      <c r="D88" s="529"/>
      <c r="E88" s="504"/>
      <c r="F88" s="504"/>
      <c r="G88" s="505"/>
    </row>
    <row r="89" spans="1:7" s="431" customFormat="1" x14ac:dyDescent="0.25">
      <c r="A89" s="432"/>
      <c r="B89" s="539"/>
      <c r="C89" s="527"/>
      <c r="D89" s="504"/>
      <c r="E89" s="504"/>
      <c r="F89" s="504"/>
      <c r="G89" s="505"/>
    </row>
    <row r="90" spans="1:7" s="398" customFormat="1" ht="18" customHeight="1" x14ac:dyDescent="0.25">
      <c r="A90" s="408"/>
      <c r="B90" s="540"/>
      <c r="C90" s="506"/>
      <c r="D90" s="506"/>
      <c r="E90" s="506"/>
      <c r="F90" s="506"/>
      <c r="G90" s="505"/>
    </row>
    <row r="91" spans="1:7" s="398" customFormat="1" ht="18" customHeight="1" x14ac:dyDescent="0.2">
      <c r="A91" s="408"/>
      <c r="B91" s="16"/>
      <c r="C91" s="506"/>
      <c r="D91" s="506"/>
      <c r="E91" s="506"/>
      <c r="F91" s="506"/>
      <c r="G91" s="506"/>
    </row>
    <row r="92" spans="1:7" s="407" customFormat="1" ht="18" customHeight="1" x14ac:dyDescent="0.2">
      <c r="A92" s="406" t="s">
        <v>663</v>
      </c>
      <c r="B92" s="103" t="s">
        <v>695</v>
      </c>
      <c r="C92" s="501">
        <v>0</v>
      </c>
      <c r="D92" s="501"/>
      <c r="E92" s="501"/>
      <c r="F92" s="501"/>
      <c r="G92" s="501"/>
    </row>
    <row r="93" spans="1:7" s="398" customFormat="1" ht="18" customHeight="1" x14ac:dyDescent="0.2">
      <c r="A93" s="408" t="s">
        <v>664</v>
      </c>
      <c r="B93" s="16" t="s">
        <v>650</v>
      </c>
      <c r="C93" s="417"/>
      <c r="D93" s="506"/>
      <c r="E93" s="506"/>
      <c r="F93" s="506"/>
      <c r="G93" s="506"/>
    </row>
    <row r="94" spans="1:7" s="398" customFormat="1" ht="18" customHeight="1" x14ac:dyDescent="0.2">
      <c r="A94" s="408" t="s">
        <v>667</v>
      </c>
      <c r="B94" s="16" t="s">
        <v>650</v>
      </c>
      <c r="C94" s="417"/>
      <c r="D94" s="506"/>
      <c r="E94" s="506"/>
      <c r="F94" s="506"/>
      <c r="G94" s="506"/>
    </row>
    <row r="95" spans="1:7" s="398" customFormat="1" ht="18" customHeight="1" x14ac:dyDescent="0.2">
      <c r="A95" s="408" t="s">
        <v>652</v>
      </c>
      <c r="B95" s="16" t="s">
        <v>650</v>
      </c>
      <c r="C95" s="417"/>
      <c r="D95" s="506"/>
      <c r="E95" s="506"/>
      <c r="F95" s="506"/>
      <c r="G95" s="506"/>
    </row>
    <row r="96" spans="1:7" s="398" customFormat="1" ht="18" customHeight="1" x14ac:dyDescent="0.2">
      <c r="A96" s="408"/>
      <c r="B96" s="16"/>
      <c r="C96" s="417"/>
      <c r="D96" s="506"/>
      <c r="E96" s="506"/>
      <c r="F96" s="506"/>
      <c r="G96" s="506"/>
    </row>
    <row r="97" spans="1:7" s="407" customFormat="1" ht="18" customHeight="1" x14ac:dyDescent="0.2">
      <c r="A97" s="406" t="s">
        <v>696</v>
      </c>
      <c r="B97" s="103" t="s">
        <v>697</v>
      </c>
      <c r="C97" s="501">
        <f>C98+C99+C100</f>
        <v>0</v>
      </c>
      <c r="D97" s="501"/>
      <c r="E97" s="501"/>
      <c r="F97" s="501"/>
      <c r="G97" s="501"/>
    </row>
    <row r="98" spans="1:7" s="407" customFormat="1" ht="18" customHeight="1" x14ac:dyDescent="0.25">
      <c r="A98" s="409" t="s">
        <v>698</v>
      </c>
      <c r="B98" s="444"/>
      <c r="C98" s="486"/>
      <c r="D98" s="486"/>
      <c r="E98" s="486"/>
      <c r="F98" s="486"/>
      <c r="G98" s="486"/>
    </row>
    <row r="99" spans="1:7" s="407" customFormat="1" ht="18" customHeight="1" x14ac:dyDescent="0.25">
      <c r="A99" s="409" t="s">
        <v>699</v>
      </c>
      <c r="B99" s="445"/>
      <c r="C99" s="507"/>
      <c r="D99" s="507"/>
      <c r="E99" s="507"/>
      <c r="F99" s="507"/>
      <c r="G99" s="507"/>
    </row>
    <row r="100" spans="1:7" s="407" customFormat="1" ht="18" customHeight="1" x14ac:dyDescent="0.2">
      <c r="A100" s="408" t="s">
        <v>652</v>
      </c>
      <c r="B100" s="15"/>
      <c r="C100" s="417"/>
      <c r="D100" s="508"/>
      <c r="E100" s="508"/>
      <c r="F100" s="508"/>
      <c r="G100" s="508"/>
    </row>
    <row r="101" spans="1:7" s="407" customFormat="1" ht="18" customHeight="1" x14ac:dyDescent="0.2">
      <c r="A101" s="409"/>
      <c r="B101" s="410"/>
      <c r="C101" s="419"/>
      <c r="D101" s="508"/>
      <c r="E101" s="508"/>
      <c r="F101" s="508"/>
      <c r="G101" s="508"/>
    </row>
    <row r="102" spans="1:7" s="407" customFormat="1" ht="18" customHeight="1" x14ac:dyDescent="0.2">
      <c r="A102" s="406" t="s">
        <v>700</v>
      </c>
      <c r="B102" s="103" t="s">
        <v>701</v>
      </c>
      <c r="C102" s="502">
        <f>C103+C104+C105+C106+C107+C108</f>
        <v>0</v>
      </c>
      <c r="D102" s="501"/>
      <c r="E102" s="501"/>
      <c r="F102" s="501"/>
      <c r="G102" s="502"/>
    </row>
    <row r="103" spans="1:7" s="398" customFormat="1" ht="18" customHeight="1" x14ac:dyDescent="0.25">
      <c r="A103" s="408" t="s">
        <v>702</v>
      </c>
      <c r="B103" s="519"/>
      <c r="C103" s="515"/>
      <c r="D103" s="486"/>
      <c r="E103" s="486"/>
      <c r="F103" s="522"/>
      <c r="G103" s="503"/>
    </row>
    <row r="104" spans="1:7" s="398" customFormat="1" ht="18" customHeight="1" x14ac:dyDescent="0.25">
      <c r="A104" s="408" t="s">
        <v>703</v>
      </c>
      <c r="B104" s="520"/>
      <c r="C104" s="515"/>
      <c r="D104" s="507"/>
      <c r="E104" s="507"/>
      <c r="F104" s="523"/>
      <c r="G104" s="503"/>
    </row>
    <row r="105" spans="1:7" s="398" customFormat="1" ht="18" customHeight="1" x14ac:dyDescent="0.25">
      <c r="A105" s="408" t="s">
        <v>704</v>
      </c>
      <c r="B105" s="520"/>
      <c r="C105" s="515"/>
      <c r="D105" s="507"/>
      <c r="E105" s="507"/>
      <c r="F105" s="523"/>
      <c r="G105" s="503"/>
    </row>
    <row r="106" spans="1:7" s="398" customFormat="1" x14ac:dyDescent="0.25">
      <c r="A106" s="408" t="s">
        <v>705</v>
      </c>
      <c r="B106" s="520"/>
      <c r="C106" s="515"/>
      <c r="D106" s="507"/>
      <c r="E106" s="507"/>
      <c r="F106" s="523"/>
      <c r="G106" s="503"/>
    </row>
    <row r="107" spans="1:7" s="398" customFormat="1" x14ac:dyDescent="0.25">
      <c r="A107" s="408" t="s">
        <v>706</v>
      </c>
      <c r="B107" s="520"/>
      <c r="C107" s="515"/>
      <c r="D107" s="507"/>
      <c r="E107" s="507"/>
      <c r="F107" s="523"/>
      <c r="G107" s="521"/>
    </row>
    <row r="108" spans="1:7" s="398" customFormat="1" ht="42" customHeight="1" x14ac:dyDescent="0.25">
      <c r="A108" s="408"/>
      <c r="B108" s="445"/>
      <c r="C108" s="524"/>
      <c r="D108" s="507"/>
      <c r="E108" s="507"/>
      <c r="F108" s="523"/>
      <c r="G108" s="503"/>
    </row>
    <row r="109" spans="1:7" s="398" customFormat="1" ht="18" customHeight="1" x14ac:dyDescent="0.2">
      <c r="A109" s="408"/>
      <c r="B109" s="16"/>
      <c r="C109" s="417"/>
      <c r="D109" s="506"/>
      <c r="E109" s="506"/>
      <c r="F109" s="506"/>
      <c r="G109" s="504"/>
    </row>
    <row r="110" spans="1:7" s="398" customFormat="1" ht="18" customHeight="1" x14ac:dyDescent="0.2">
      <c r="A110" s="408"/>
      <c r="B110" s="16"/>
      <c r="C110" s="417"/>
      <c r="D110" s="506"/>
      <c r="E110" s="506"/>
      <c r="F110" s="506"/>
      <c r="G110" s="506"/>
    </row>
    <row r="111" spans="1:7" s="398" customFormat="1" ht="18" customHeight="1" x14ac:dyDescent="0.2">
      <c r="A111" s="408"/>
      <c r="B111" s="16"/>
      <c r="C111" s="417"/>
      <c r="D111" s="506"/>
      <c r="E111" s="506"/>
      <c r="F111" s="506"/>
      <c r="G111" s="506"/>
    </row>
    <row r="112" spans="1:7" s="398" customFormat="1" ht="18" customHeight="1" x14ac:dyDescent="0.2">
      <c r="A112" s="408"/>
      <c r="B112" s="16"/>
      <c r="C112" s="417"/>
      <c r="D112" s="506"/>
      <c r="E112" s="506"/>
      <c r="F112" s="506"/>
      <c r="G112" s="506"/>
    </row>
    <row r="113" spans="1:7" s="398" customFormat="1" ht="18" customHeight="1" x14ac:dyDescent="0.2">
      <c r="A113" s="408"/>
      <c r="B113" s="16"/>
      <c r="C113" s="417"/>
      <c r="D113" s="506"/>
      <c r="E113" s="506"/>
      <c r="F113" s="506"/>
      <c r="G113" s="506"/>
    </row>
    <row r="114" spans="1:7" s="407" customFormat="1" ht="18" customHeight="1" x14ac:dyDescent="0.2">
      <c r="A114" s="406" t="s">
        <v>707</v>
      </c>
      <c r="B114" s="103" t="s">
        <v>708</v>
      </c>
      <c r="C114" s="416"/>
      <c r="D114" s="501"/>
      <c r="E114" s="501"/>
      <c r="F114" s="501"/>
      <c r="G114" s="501"/>
    </row>
    <row r="115" spans="1:7" s="398" customFormat="1" ht="18" customHeight="1" x14ac:dyDescent="0.2">
      <c r="A115" s="408" t="s">
        <v>709</v>
      </c>
      <c r="B115" s="16" t="s">
        <v>650</v>
      </c>
      <c r="C115" s="417"/>
      <c r="D115" s="506"/>
      <c r="E115" s="506"/>
      <c r="F115" s="506"/>
      <c r="G115" s="506"/>
    </row>
    <row r="116" spans="1:7" s="398" customFormat="1" ht="18" customHeight="1" x14ac:dyDescent="0.2">
      <c r="A116" s="408" t="s">
        <v>710</v>
      </c>
      <c r="B116" s="16" t="s">
        <v>650</v>
      </c>
      <c r="C116" s="417"/>
      <c r="D116" s="506"/>
      <c r="E116" s="506"/>
      <c r="F116" s="506"/>
      <c r="G116" s="506"/>
    </row>
    <row r="117" spans="1:7" s="398" customFormat="1" ht="18" customHeight="1" x14ac:dyDescent="0.2">
      <c r="A117" s="408" t="s">
        <v>652</v>
      </c>
      <c r="B117" s="16" t="s">
        <v>650</v>
      </c>
      <c r="C117" s="417"/>
      <c r="D117" s="506"/>
      <c r="E117" s="506"/>
      <c r="F117" s="506"/>
      <c r="G117" s="506"/>
    </row>
    <row r="118" spans="1:7" s="407" customFormat="1" ht="18" customHeight="1" x14ac:dyDescent="0.2">
      <c r="A118" s="406" t="s">
        <v>711</v>
      </c>
      <c r="B118" s="411" t="s">
        <v>712</v>
      </c>
      <c r="C118" s="416"/>
      <c r="D118" s="501"/>
      <c r="E118" s="501"/>
      <c r="F118" s="501"/>
      <c r="G118" s="501"/>
    </row>
    <row r="120" spans="1:7" x14ac:dyDescent="0.2">
      <c r="A120" s="30" t="s">
        <v>230</v>
      </c>
    </row>
    <row r="121" spans="1:7" ht="46.5" customHeight="1" x14ac:dyDescent="0.2">
      <c r="A121" s="812" t="s">
        <v>713</v>
      </c>
      <c r="B121" s="812"/>
      <c r="C121" s="812"/>
      <c r="D121" s="812"/>
    </row>
    <row r="122" spans="1:7" ht="73.5" customHeight="1" x14ac:dyDescent="0.2">
      <c r="A122" s="812" t="s">
        <v>714</v>
      </c>
      <c r="B122" s="812"/>
      <c r="C122" s="812"/>
      <c r="D122" s="812"/>
    </row>
  </sheetData>
  <mergeCells count="2">
    <mergeCell ref="A121:D121"/>
    <mergeCell ref="A122:D1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7</vt:i4>
      </vt:variant>
      <vt:variant>
        <vt:lpstr>Diapazoni ar nosaukumiem</vt:lpstr>
      </vt:variant>
      <vt:variant>
        <vt:i4>1</vt:i4>
      </vt:variant>
    </vt:vector>
  </HeadingPairs>
  <TitlesOfParts>
    <vt:vector size="8" baseType="lpstr">
      <vt:lpstr>Budžeta tāme</vt:lpstr>
      <vt:lpstr>PZ Aprēķins</vt:lpstr>
      <vt:lpstr>Bilance</vt:lpstr>
      <vt:lpstr>Naudas plūsma</vt:lpstr>
      <vt:lpstr>Naturālie rādītāji</vt:lpstr>
      <vt:lpstr>Ieguldījumu tāme</vt:lpstr>
      <vt:lpstr>Kreditori, Debitori</vt:lpstr>
      <vt:lpstr>Bilance!Drukas_apgabals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Karīna Šoka</dc:creator>
  <cp:keywords/>
  <dc:description/>
  <cp:lastModifiedBy>Ieva Kļaviņa</cp:lastModifiedBy>
  <cp:revision/>
  <cp:lastPrinted>2025-04-04T05:39:42Z</cp:lastPrinted>
  <dcterms:created xsi:type="dcterms:W3CDTF">2015-06-08T06:33:04Z</dcterms:created>
  <dcterms:modified xsi:type="dcterms:W3CDTF">2025-05-26T09:40:16Z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5a320f60-c6ab-4277-be08-d6d35fa3b0e4</vt:lpwstr>
  </property>
  <property fmtid="{D5CDD505-2E9C-101B-9397-08002B2CF9AE}" pid="3" name="Workbook type">
    <vt:lpwstr>Custom</vt:lpwstr>
  </property>
  <property fmtid="{D5CDD505-2E9C-101B-9397-08002B2CF9AE}" pid="4" name="Workbook version">
    <vt:lpwstr>Custom</vt:lpwstr>
  </property>
</Properties>
</file>